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3215" windowHeight="5580" activeTab="1"/>
  </bookViews>
  <sheets>
    <sheet name="Actual" sheetId="3" r:id="rId1"/>
    <sheet name="Example" sheetId="1" r:id="rId2"/>
  </sheets>
  <calcPr calcId="125725"/>
</workbook>
</file>

<file path=xl/calcChain.xml><?xml version="1.0" encoding="utf-8"?>
<calcChain xmlns="http://schemas.openxmlformats.org/spreadsheetml/2006/main">
  <c r="Q19" i="1"/>
  <c r="P19" s="1"/>
  <c r="R19" s="1"/>
  <c r="Q21"/>
  <c r="P21" s="1"/>
  <c r="R21" s="1"/>
  <c r="Q23"/>
  <c r="P23" s="1"/>
  <c r="R23" s="1"/>
  <c r="Q25"/>
  <c r="P25" s="1"/>
  <c r="R25" s="1"/>
  <c r="Q27"/>
  <c r="P27" s="1"/>
  <c r="R27" s="1"/>
  <c r="Q29"/>
  <c r="P29" s="1"/>
  <c r="R29" s="1"/>
  <c r="P31"/>
  <c r="Q31"/>
  <c r="R31"/>
  <c r="P33"/>
  <c r="Q33"/>
  <c r="R33"/>
  <c r="P35"/>
  <c r="Q35"/>
  <c r="R35"/>
  <c r="P37"/>
  <c r="Q37"/>
  <c r="R37"/>
  <c r="Q17"/>
  <c r="P17" s="1"/>
  <c r="R17" s="1"/>
  <c r="O10"/>
  <c r="G7"/>
  <c r="D26" s="1"/>
  <c r="E26" s="1"/>
  <c r="G9"/>
  <c r="J17" s="1"/>
  <c r="J18" s="1"/>
  <c r="J19" s="1"/>
  <c r="J20" s="1"/>
  <c r="J21" s="1"/>
  <c r="J22" s="1"/>
  <c r="J23" s="1"/>
  <c r="D24"/>
  <c r="E24" s="1"/>
  <c r="D32"/>
  <c r="E32" s="1"/>
  <c r="J17" i="3"/>
  <c r="N8" i="1"/>
  <c r="L8"/>
  <c r="K8"/>
  <c r="O7"/>
  <c r="N7"/>
  <c r="L7"/>
  <c r="K7"/>
  <c r="G12"/>
  <c r="G11"/>
  <c r="G10"/>
  <c r="G8"/>
  <c r="D20" s="1"/>
  <c r="E20" s="1"/>
  <c r="E32" i="3"/>
  <c r="E31"/>
  <c r="E30"/>
  <c r="E29"/>
  <c r="E28"/>
  <c r="E27"/>
  <c r="E26"/>
  <c r="E25"/>
  <c r="E24"/>
  <c r="I23"/>
  <c r="H23"/>
  <c r="E23"/>
  <c r="I22"/>
  <c r="H22"/>
  <c r="E22"/>
  <c r="I21"/>
  <c r="H21"/>
  <c r="E21"/>
  <c r="I20"/>
  <c r="H20"/>
  <c r="E20"/>
  <c r="I19"/>
  <c r="H19"/>
  <c r="E19"/>
  <c r="H18"/>
  <c r="F18"/>
  <c r="F19" s="1"/>
  <c r="F20" s="1"/>
  <c r="E18"/>
  <c r="C18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L17"/>
  <c r="H17"/>
  <c r="E17"/>
  <c r="G13"/>
  <c r="N7" s="1"/>
  <c r="O8"/>
  <c r="O9" s="1"/>
  <c r="N8"/>
  <c r="N9" s="1"/>
  <c r="L8"/>
  <c r="L9" s="1"/>
  <c r="K8"/>
  <c r="K9" s="1"/>
  <c r="F3"/>
  <c r="J3" s="1"/>
  <c r="G6" s="1"/>
  <c r="A17" s="1"/>
  <c r="O8" i="1"/>
  <c r="O9" s="1"/>
  <c r="N9"/>
  <c r="K9"/>
  <c r="G22"/>
  <c r="H22" s="1"/>
  <c r="G18"/>
  <c r="K18"/>
  <c r="H18"/>
  <c r="F3"/>
  <c r="J3" s="1"/>
  <c r="I23"/>
  <c r="I22"/>
  <c r="I20"/>
  <c r="H23"/>
  <c r="F18"/>
  <c r="F19" s="1"/>
  <c r="F20" s="1"/>
  <c r="F21" s="1"/>
  <c r="F22" s="1"/>
  <c r="F23" s="1"/>
  <c r="C18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G13"/>
  <c r="G6" l="1"/>
  <c r="K20"/>
  <c r="G20"/>
  <c r="H20" s="1"/>
  <c r="K22"/>
  <c r="D28"/>
  <c r="E28" s="1"/>
  <c r="D30"/>
  <c r="E30" s="1"/>
  <c r="D22"/>
  <c r="E22" s="1"/>
  <c r="D18"/>
  <c r="E18" s="1"/>
  <c r="L21" i="3"/>
  <c r="L19"/>
  <c r="B17"/>
  <c r="A18"/>
  <c r="L18"/>
  <c r="L20"/>
  <c r="L22"/>
  <c r="L23"/>
  <c r="F21"/>
  <c r="F22" s="1"/>
  <c r="F23" s="1"/>
  <c r="J18"/>
  <c r="J19" s="1"/>
  <c r="J20" s="1"/>
  <c r="J21" s="1"/>
  <c r="J22" s="1"/>
  <c r="J23" s="1"/>
  <c r="O17" s="1"/>
  <c r="L7"/>
  <c r="O7"/>
  <c r="K7"/>
  <c r="L9" i="1"/>
  <c r="L22" s="1"/>
  <c r="L18"/>
  <c r="L20"/>
  <c r="A17"/>
  <c r="O17"/>
  <c r="O18" i="3" l="1"/>
  <c r="T17"/>
  <c r="B18"/>
  <c r="A19"/>
  <c r="T17" i="1"/>
  <c r="A18"/>
  <c r="B17"/>
  <c r="O18"/>
  <c r="T18" s="1"/>
  <c r="A20" i="3" l="1"/>
  <c r="B19"/>
  <c r="T18"/>
  <c r="O19"/>
  <c r="S17"/>
  <c r="S17" i="1"/>
  <c r="A19"/>
  <c r="B18"/>
  <c r="O19"/>
  <c r="T19" s="1"/>
  <c r="O20" i="3" l="1"/>
  <c r="T19"/>
  <c r="A21"/>
  <c r="B20"/>
  <c r="S18"/>
  <c r="A20" i="1"/>
  <c r="B19"/>
  <c r="O20"/>
  <c r="T20" s="1"/>
  <c r="A22" i="3" l="1"/>
  <c r="B21"/>
  <c r="T20"/>
  <c r="O21"/>
  <c r="S19"/>
  <c r="S19" i="1"/>
  <c r="A21"/>
  <c r="B20"/>
  <c r="O21"/>
  <c r="T21" s="1"/>
  <c r="O22" i="3" l="1"/>
  <c r="T21"/>
  <c r="A23"/>
  <c r="B22"/>
  <c r="S20"/>
  <c r="A22" i="1"/>
  <c r="B21"/>
  <c r="O22"/>
  <c r="T22" s="1"/>
  <c r="B23" i="3" l="1"/>
  <c r="A24"/>
  <c r="O23"/>
  <c r="T22"/>
  <c r="S21"/>
  <c r="S21" i="1"/>
  <c r="A23"/>
  <c r="B22"/>
  <c r="O23"/>
  <c r="T23" s="1"/>
  <c r="O24" i="3" l="1"/>
  <c r="T23"/>
  <c r="B24"/>
  <c r="A25"/>
  <c r="S22"/>
  <c r="A24" i="1"/>
  <c r="B23"/>
  <c r="O24"/>
  <c r="T24" s="1"/>
  <c r="B25" i="3" l="1"/>
  <c r="A26"/>
  <c r="O25"/>
  <c r="T24"/>
  <c r="S23"/>
  <c r="S23" i="1"/>
  <c r="A25"/>
  <c r="B24"/>
  <c r="O25"/>
  <c r="T25" s="1"/>
  <c r="O26" i="3" l="1"/>
  <c r="T25"/>
  <c r="B26"/>
  <c r="A27"/>
  <c r="S24"/>
  <c r="A26" i="1"/>
  <c r="B25"/>
  <c r="O26"/>
  <c r="T26" s="1"/>
  <c r="B27" i="3" l="1"/>
  <c r="M17" s="1"/>
  <c r="A28"/>
  <c r="O27"/>
  <c r="T26"/>
  <c r="S25"/>
  <c r="A27" i="1"/>
  <c r="B26"/>
  <c r="O27"/>
  <c r="T27" s="1"/>
  <c r="S25"/>
  <c r="O28" i="3" l="1"/>
  <c r="T27"/>
  <c r="M18"/>
  <c r="N17"/>
  <c r="B28"/>
  <c r="A29"/>
  <c r="S26"/>
  <c r="A28" i="1"/>
  <c r="B27"/>
  <c r="M17" s="1"/>
  <c r="O28"/>
  <c r="T28" s="1"/>
  <c r="M19" i="3" l="1"/>
  <c r="N18"/>
  <c r="O29"/>
  <c r="T28"/>
  <c r="B29"/>
  <c r="A30"/>
  <c r="S27"/>
  <c r="A29" i="1"/>
  <c r="B28"/>
  <c r="N17"/>
  <c r="M18"/>
  <c r="O29"/>
  <c r="T29" s="1"/>
  <c r="B30" i="3" l="1"/>
  <c r="A31"/>
  <c r="O30"/>
  <c r="T29"/>
  <c r="M20"/>
  <c r="N19"/>
  <c r="S28"/>
  <c r="S27" i="1"/>
  <c r="A30"/>
  <c r="B29"/>
  <c r="N18"/>
  <c r="M19"/>
  <c r="O30"/>
  <c r="T30" s="1"/>
  <c r="M21" i="3" l="1"/>
  <c r="N20"/>
  <c r="O31"/>
  <c r="T30"/>
  <c r="B31"/>
  <c r="A32"/>
  <c r="S29"/>
  <c r="A31" i="1"/>
  <c r="B30"/>
  <c r="N19"/>
  <c r="M20"/>
  <c r="O31"/>
  <c r="T31" s="1"/>
  <c r="O32" i="3" l="1"/>
  <c r="T31"/>
  <c r="S31"/>
  <c r="M22"/>
  <c r="N21"/>
  <c r="B32"/>
  <c r="A33"/>
  <c r="S30"/>
  <c r="S29" i="1"/>
  <c r="A32"/>
  <c r="B31"/>
  <c r="N20"/>
  <c r="M21"/>
  <c r="O32"/>
  <c r="T32" s="1"/>
  <c r="M23" i="3" l="1"/>
  <c r="N22"/>
  <c r="O33"/>
  <c r="T32"/>
  <c r="S32"/>
  <c r="A33" i="1"/>
  <c r="B32"/>
  <c r="N21"/>
  <c r="S31" s="1"/>
  <c r="M22"/>
  <c r="O33"/>
  <c r="T33" s="1"/>
  <c r="T33" i="3" l="1"/>
  <c r="O34"/>
  <c r="S33"/>
  <c r="M24"/>
  <c r="N23"/>
  <c r="N22" i="1"/>
  <c r="M23"/>
  <c r="O34"/>
  <c r="T34" s="1"/>
  <c r="M25" i="3" l="1"/>
  <c r="N24"/>
  <c r="O35"/>
  <c r="T34"/>
  <c r="S33" i="1"/>
  <c r="N23"/>
  <c r="M24"/>
  <c r="O35"/>
  <c r="T35" s="1"/>
  <c r="T35" i="3" l="1"/>
  <c r="O36"/>
  <c r="S35"/>
  <c r="M26"/>
  <c r="N25"/>
  <c r="S34"/>
  <c r="N24" i="1"/>
  <c r="M25"/>
  <c r="O36"/>
  <c r="T36" l="1"/>
  <c r="M27" i="3"/>
  <c r="N26"/>
  <c r="O37"/>
  <c r="T36"/>
  <c r="N25" i="1"/>
  <c r="M26"/>
  <c r="O37"/>
  <c r="S35"/>
  <c r="O38" l="1"/>
  <c r="T37"/>
  <c r="T37" i="3"/>
  <c r="O38"/>
  <c r="S37"/>
  <c r="M28"/>
  <c r="N27"/>
  <c r="S36"/>
  <c r="N26" i="1"/>
  <c r="M27"/>
  <c r="T38" l="1"/>
  <c r="M29" i="3"/>
  <c r="N28"/>
  <c r="T38"/>
  <c r="N27" i="1"/>
  <c r="M28"/>
  <c r="S37"/>
  <c r="M30" i="3" l="1"/>
  <c r="N29"/>
  <c r="S38"/>
  <c r="N28" i="1"/>
  <c r="M29"/>
  <c r="M31" i="3" l="1"/>
  <c r="N30"/>
  <c r="N29" i="1"/>
  <c r="M30"/>
  <c r="M32" i="3" l="1"/>
  <c r="N31"/>
  <c r="N30" i="1"/>
  <c r="M31"/>
  <c r="M33" i="3" l="1"/>
  <c r="N32"/>
  <c r="N31" i="1"/>
  <c r="M32"/>
  <c r="M34" i="3" l="1"/>
  <c r="N33"/>
  <c r="N32" i="1"/>
  <c r="M33"/>
  <c r="M35" i="3" l="1"/>
  <c r="N34"/>
  <c r="M34" i="1"/>
  <c r="N33"/>
  <c r="M36" i="3" l="1"/>
  <c r="N35"/>
  <c r="N34" i="1"/>
  <c r="M35"/>
  <c r="M37" i="3" l="1"/>
  <c r="N36"/>
  <c r="M36" i="1"/>
  <c r="N35"/>
  <c r="M38" i="3" l="1"/>
  <c r="N37"/>
  <c r="M37" i="1"/>
  <c r="N36"/>
  <c r="N38" i="3" l="1"/>
  <c r="N37" i="1"/>
  <c r="M38"/>
  <c r="N38" l="1"/>
</calcChain>
</file>

<file path=xl/sharedStrings.xml><?xml version="1.0" encoding="utf-8"?>
<sst xmlns="http://schemas.openxmlformats.org/spreadsheetml/2006/main" count="92" uniqueCount="46">
  <si>
    <t>Monitoring the farm</t>
  </si>
  <si>
    <t>Batch farrowing places</t>
  </si>
  <si>
    <t>Finishing rate</t>
  </si>
  <si>
    <t>Farrowing rate</t>
  </si>
  <si>
    <t>%</t>
  </si>
  <si>
    <t>Liveweight at sale</t>
  </si>
  <si>
    <t>kg</t>
  </si>
  <si>
    <t>weeks</t>
  </si>
  <si>
    <t>Age when finishing ends</t>
  </si>
  <si>
    <t>Gestation area</t>
  </si>
  <si>
    <t>Farrowing area</t>
  </si>
  <si>
    <t>Nursery</t>
  </si>
  <si>
    <t>Grow finish</t>
  </si>
  <si>
    <t>Week number</t>
  </si>
  <si>
    <t>The yellow boxes can be customised</t>
  </si>
  <si>
    <t>weeks (check)</t>
  </si>
  <si>
    <t>Weaning age</t>
  </si>
  <si>
    <t>Week #</t>
  </si>
  <si>
    <t>sows</t>
  </si>
  <si>
    <t>piglets</t>
  </si>
  <si>
    <t>Week</t>
  </si>
  <si>
    <t>Todays date</t>
  </si>
  <si>
    <t>Weaned per farrowing place</t>
  </si>
  <si>
    <t>pigs</t>
  </si>
  <si>
    <t>alive</t>
  </si>
  <si>
    <t>sold</t>
  </si>
  <si>
    <t>mortality</t>
  </si>
  <si>
    <t>for each batch of finishers</t>
  </si>
  <si>
    <t>total selected and sold animals</t>
  </si>
  <si>
    <t>Record still growing on the farm,</t>
  </si>
  <si>
    <t>Print in landscape format</t>
  </si>
  <si>
    <t>Grower</t>
  </si>
  <si>
    <t>by this week of age</t>
  </si>
  <si>
    <t>percentage mortality</t>
  </si>
  <si>
    <t>Complete at the end of each batch period</t>
  </si>
  <si>
    <t>Grow/finish</t>
  </si>
  <si>
    <t>selected</t>
  </si>
  <si>
    <t>This sheet provides an example of expected current performance</t>
  </si>
  <si>
    <t>Example: Do not customise</t>
  </si>
  <si>
    <t>Age</t>
  </si>
  <si>
    <t>2 week batch farming</t>
  </si>
  <si>
    <t>Mortality pattern:</t>
  </si>
  <si>
    <t>Select home farm gilts?</t>
  </si>
  <si>
    <t>Y</t>
  </si>
  <si>
    <t>y or n</t>
  </si>
  <si>
    <t>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</si>
</sst>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theme="0"/>
      <name val="Verdana"/>
      <family val="2"/>
    </font>
    <font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4" fillId="4" borderId="0" xfId="0" applyFont="1" applyFill="1"/>
    <xf numFmtId="0" fontId="1" fillId="0" borderId="6" xfId="0" applyFont="1" applyBorder="1" applyAlignment="1">
      <alignment horizontal="center"/>
    </xf>
    <xf numFmtId="0" fontId="1" fillId="0" borderId="2" xfId="0" applyFont="1" applyBorder="1"/>
    <xf numFmtId="0" fontId="1" fillId="2" borderId="3" xfId="0" applyFont="1" applyFill="1" applyBorder="1"/>
    <xf numFmtId="0" fontId="1" fillId="0" borderId="4" xfId="0" applyFont="1" applyBorder="1"/>
    <xf numFmtId="0" fontId="1" fillId="0" borderId="3" xfId="0" applyFont="1" applyBorder="1"/>
    <xf numFmtId="0" fontId="4" fillId="0" borderId="0" xfId="0" applyFont="1"/>
    <xf numFmtId="0" fontId="1" fillId="2" borderId="4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0" borderId="7" xfId="0" applyFont="1" applyBorder="1" applyAlignment="1">
      <alignment horizontal="center"/>
    </xf>
    <xf numFmtId="0" fontId="1" fillId="0" borderId="0" xfId="0" applyFont="1" applyFill="1"/>
    <xf numFmtId="0" fontId="4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4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0" xfId="0" applyFont="1" applyFill="1"/>
    <xf numFmtId="1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25">
    <dxf>
      <font>
        <color rgb="FFFFFF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FF00"/>
      </font>
    </dxf>
    <dxf>
      <font>
        <color rgb="FFFFFF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FF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8"/>
  <sheetViews>
    <sheetView zoomScale="92" zoomScaleNormal="92" workbookViewId="0"/>
  </sheetViews>
  <sheetFormatPr defaultRowHeight="12.75"/>
  <cols>
    <col min="1" max="1" width="1" style="1" customWidth="1"/>
    <col min="2" max="2" width="9.140625" style="1"/>
    <col min="3" max="3" width="4.140625" style="1" customWidth="1"/>
    <col min="4" max="4" width="6" style="1" customWidth="1"/>
    <col min="5" max="5" width="7.5703125" style="1" customWidth="1"/>
    <col min="6" max="6" width="4.85546875" style="1" customWidth="1"/>
    <col min="7" max="7" width="6.28515625" style="1" customWidth="1"/>
    <col min="8" max="8" width="7.28515625" style="1" customWidth="1"/>
    <col min="9" max="9" width="8.140625" style="1" customWidth="1"/>
    <col min="10" max="10" width="5.28515625" style="1" customWidth="1"/>
    <col min="11" max="11" width="6" style="1" customWidth="1"/>
    <col min="12" max="12" width="6.7109375" style="1" customWidth="1"/>
    <col min="13" max="13" width="2" style="1" customWidth="1"/>
    <col min="14" max="14" width="5.85546875" style="1" customWidth="1"/>
    <col min="15" max="15" width="5.7109375" style="1" customWidth="1"/>
    <col min="16" max="16" width="5.85546875" style="1" customWidth="1"/>
    <col min="17" max="17" width="7.28515625" style="1" customWidth="1"/>
    <col min="18" max="18" width="7.140625" style="1" customWidth="1"/>
    <col min="19" max="19" width="7.42578125" style="1" customWidth="1"/>
    <col min="20" max="16384" width="9.140625" style="1"/>
  </cols>
  <sheetData>
    <row r="1" spans="1:20" ht="15">
      <c r="A1" s="3" t="s">
        <v>0</v>
      </c>
      <c r="B1" s="3"/>
      <c r="G1" s="1" t="s">
        <v>40</v>
      </c>
    </row>
    <row r="2" spans="1:20">
      <c r="A2" s="1" t="s">
        <v>14</v>
      </c>
      <c r="H2" s="1" t="s">
        <v>30</v>
      </c>
    </row>
    <row r="3" spans="1:20">
      <c r="A3" s="2"/>
      <c r="E3" s="4" t="s">
        <v>21</v>
      </c>
      <c r="F3" s="31">
        <f ca="1">TODAY()</f>
        <v>40282</v>
      </c>
      <c r="G3" s="32"/>
      <c r="H3" s="33"/>
      <c r="I3" s="4" t="s">
        <v>20</v>
      </c>
      <c r="J3" s="34">
        <f ca="1">WEEKNUM(F3)</f>
        <v>16</v>
      </c>
      <c r="K3" s="33"/>
    </row>
    <row r="4" spans="1:20">
      <c r="A4" s="1" t="s">
        <v>34</v>
      </c>
    </row>
    <row r="5" spans="1:20">
      <c r="I5" s="13">
        <v>3</v>
      </c>
      <c r="K5" s="1" t="s">
        <v>41</v>
      </c>
    </row>
    <row r="6" spans="1:20">
      <c r="F6" s="4" t="s">
        <v>13</v>
      </c>
      <c r="G6" s="35">
        <f ca="1">J3</f>
        <v>16</v>
      </c>
      <c r="H6" s="36"/>
      <c r="I6" s="13">
        <v>5</v>
      </c>
      <c r="K6" s="37" t="s">
        <v>11</v>
      </c>
      <c r="L6" s="37"/>
      <c r="N6" s="37" t="s">
        <v>31</v>
      </c>
      <c r="O6" s="37"/>
    </row>
    <row r="7" spans="1:20">
      <c r="F7" s="4" t="s">
        <v>1</v>
      </c>
      <c r="G7" s="35">
        <v>20</v>
      </c>
      <c r="H7" s="36"/>
      <c r="K7" s="21">
        <f>ROUNDDOWN($G$13/3,0)</f>
        <v>8</v>
      </c>
      <c r="L7" s="21">
        <f>ROUNDDOWN($G$13/2.3,0)</f>
        <v>10</v>
      </c>
      <c r="N7" s="21">
        <f>ROUNDDOWN($G$13/2,0)</f>
        <v>12</v>
      </c>
      <c r="O7" s="21">
        <f>ROUNDDOWN($G$13/1.4,0)</f>
        <v>17</v>
      </c>
      <c r="P7" s="1" t="s">
        <v>32</v>
      </c>
    </row>
    <row r="8" spans="1:20">
      <c r="F8" s="4" t="s">
        <v>3</v>
      </c>
      <c r="G8" s="35">
        <v>82</v>
      </c>
      <c r="H8" s="36"/>
      <c r="I8" s="1" t="s">
        <v>4</v>
      </c>
      <c r="K8" s="21">
        <f>(100-$G$11)*0.4</f>
        <v>2</v>
      </c>
      <c r="L8" s="21">
        <f>(100-$G$11)*0.6</f>
        <v>3</v>
      </c>
      <c r="N8" s="21">
        <f>(100-$G$11)*0.8</f>
        <v>4</v>
      </c>
      <c r="O8" s="22">
        <f>(100-$G$11)</f>
        <v>5</v>
      </c>
      <c r="P8" s="1" t="s">
        <v>33</v>
      </c>
    </row>
    <row r="9" spans="1:20">
      <c r="F9" s="4" t="s">
        <v>16</v>
      </c>
      <c r="G9" s="35">
        <v>3</v>
      </c>
      <c r="H9" s="36"/>
      <c r="I9" s="1" t="s">
        <v>7</v>
      </c>
      <c r="K9" s="13">
        <f>K8/(100-$G$11)</f>
        <v>0.4</v>
      </c>
      <c r="L9" s="13">
        <f t="shared" ref="L9:O9" si="0">L8/(100-$G$11)</f>
        <v>0.6</v>
      </c>
      <c r="M9" s="13"/>
      <c r="N9" s="13">
        <f t="shared" si="0"/>
        <v>0.8</v>
      </c>
      <c r="O9" s="13">
        <f t="shared" si="0"/>
        <v>1</v>
      </c>
      <c r="R9" s="7" t="s">
        <v>43</v>
      </c>
    </row>
    <row r="10" spans="1:20">
      <c r="F10" s="4" t="s">
        <v>22</v>
      </c>
      <c r="G10" s="35">
        <v>10</v>
      </c>
      <c r="H10" s="36"/>
      <c r="I10" s="1" t="s">
        <v>23</v>
      </c>
      <c r="N10" s="4" t="s">
        <v>42</v>
      </c>
      <c r="O10" s="21" t="s">
        <v>43</v>
      </c>
      <c r="P10" s="1" t="s">
        <v>44</v>
      </c>
      <c r="R10" s="7" t="s">
        <v>45</v>
      </c>
    </row>
    <row r="11" spans="1:20">
      <c r="F11" s="4" t="s">
        <v>2</v>
      </c>
      <c r="G11" s="35">
        <v>95</v>
      </c>
      <c r="H11" s="36"/>
      <c r="I11" s="1" t="s">
        <v>4</v>
      </c>
    </row>
    <row r="12" spans="1:20">
      <c r="F12" s="4" t="s">
        <v>5</v>
      </c>
      <c r="G12" s="35">
        <v>100</v>
      </c>
      <c r="H12" s="36"/>
      <c r="I12" s="1" t="s">
        <v>6</v>
      </c>
      <c r="N12" s="1" t="s">
        <v>29</v>
      </c>
    </row>
    <row r="13" spans="1:20">
      <c r="F13" s="4" t="s">
        <v>8</v>
      </c>
      <c r="G13" s="38">
        <f>(ROUNDUP(-0.0744*POWER(((G12/10)+1),2)+2.7618*((G12/10)+1)-0.2818,0))+2</f>
        <v>24</v>
      </c>
      <c r="H13" s="39"/>
      <c r="I13" s="1" t="s">
        <v>15</v>
      </c>
      <c r="N13" s="1" t="s">
        <v>28</v>
      </c>
    </row>
    <row r="14" spans="1:20">
      <c r="N14" s="1" t="s">
        <v>27</v>
      </c>
    </row>
    <row r="15" spans="1:20">
      <c r="A15" s="1" t="s">
        <v>0</v>
      </c>
      <c r="N15" s="5" t="s">
        <v>20</v>
      </c>
      <c r="O15" s="34" t="s">
        <v>35</v>
      </c>
      <c r="P15" s="32"/>
      <c r="Q15" s="32"/>
      <c r="R15" s="32"/>
      <c r="S15" s="33"/>
      <c r="T15" s="19" t="s">
        <v>26</v>
      </c>
    </row>
    <row r="16" spans="1:20">
      <c r="B16" s="6" t="s">
        <v>17</v>
      </c>
      <c r="C16" s="34" t="s">
        <v>9</v>
      </c>
      <c r="D16" s="32"/>
      <c r="E16" s="33"/>
      <c r="F16" s="34" t="s">
        <v>10</v>
      </c>
      <c r="G16" s="32"/>
      <c r="H16" s="32"/>
      <c r="I16" s="33"/>
      <c r="J16" s="34" t="s">
        <v>11</v>
      </c>
      <c r="K16" s="32"/>
      <c r="L16" s="33"/>
      <c r="O16" s="20" t="s">
        <v>39</v>
      </c>
      <c r="P16" s="5" t="s">
        <v>24</v>
      </c>
      <c r="Q16" s="23" t="s">
        <v>36</v>
      </c>
      <c r="R16" s="5" t="s">
        <v>25</v>
      </c>
      <c r="T16" s="19"/>
    </row>
    <row r="17" spans="1:20">
      <c r="A17" s="7">
        <f ca="1">G6</f>
        <v>16</v>
      </c>
      <c r="B17" s="8">
        <f ca="1">IF(A17=0,52,A17)</f>
        <v>16</v>
      </c>
      <c r="C17" s="9">
        <v>1</v>
      </c>
      <c r="D17" s="29"/>
      <c r="E17" s="11" t="str">
        <f t="shared" ref="E17:E23" si="1">IF(D17=0," ",IF(D17&lt;(ROUNDUP($G$7/($G$8/100),0)),"Check",IF(D17&gt;(ROUNDUP($G$7/($G$8/100),0)*1.2),"Check","OK")))</f>
        <v xml:space="preserve"> </v>
      </c>
      <c r="F17" s="9">
        <v>0</v>
      </c>
      <c r="G17" s="29"/>
      <c r="H17" s="12" t="str">
        <f>IF(G17=0," ",IF(G17&lt;G7,"Check",IF(G17&gt;(G7*1.1),"Check","OK")))</f>
        <v xml:space="preserve"> </v>
      </c>
      <c r="I17" s="12" t="s">
        <v>18</v>
      </c>
      <c r="J17" s="9">
        <f>G9+1</f>
        <v>4</v>
      </c>
      <c r="K17" s="29"/>
      <c r="L17" s="11" t="str">
        <f>IF(K17=0," ",IF(K17&lt;($G$7*$G$10*1),"Check","OK"))</f>
        <v xml:space="preserve"> </v>
      </c>
      <c r="M17" s="13">
        <f ca="1">B27-1</f>
        <v>5</v>
      </c>
      <c r="N17" s="9">
        <f ca="1">IF(M17&lt;=0,52,M17)</f>
        <v>5</v>
      </c>
      <c r="O17" s="12">
        <f>IF(G9=3,J23+1,IF(G9=4,J22+1,J21+1))</f>
        <v>11</v>
      </c>
      <c r="P17" s="14"/>
      <c r="Q17" s="15"/>
      <c r="R17" s="16"/>
      <c r="S17" s="11" t="str">
        <f>IF((P17+Q17+R17)=0," ",IF((P17+Q17+R17)&lt;($G$7*$G$10*(1-(((100-$G$11)*(T17/100))/100))),"Check","OK"))</f>
        <v xml:space="preserve"> </v>
      </c>
      <c r="T17" s="19">
        <f>IF(O17&lt;$N$7,($L$9*100),IF(O17&lt;$O$7,($N$9*100),($O$9*100)))</f>
        <v>60</v>
      </c>
    </row>
    <row r="18" spans="1:20">
      <c r="A18" s="7">
        <f ca="1">A17-1</f>
        <v>15</v>
      </c>
      <c r="B18" s="8">
        <f t="shared" ref="B18:B32" ca="1" si="2">IF(A18=0,52,A18)</f>
        <v>15</v>
      </c>
      <c r="C18" s="9">
        <f>C17+1</f>
        <v>2</v>
      </c>
      <c r="D18" s="10"/>
      <c r="E18" s="11" t="str">
        <f t="shared" si="1"/>
        <v xml:space="preserve"> </v>
      </c>
      <c r="F18" s="9">
        <f>F17+1</f>
        <v>1</v>
      </c>
      <c r="G18" s="10"/>
      <c r="H18" s="12" t="str">
        <f>IF(G18=0," ",IF(G18&lt;($G$7*$G$10*1.12),"Check","OK"))</f>
        <v xml:space="preserve"> </v>
      </c>
      <c r="I18" s="12" t="s">
        <v>19</v>
      </c>
      <c r="J18" s="9">
        <f t="shared" ref="J18:J23" si="3">J17+1</f>
        <v>5</v>
      </c>
      <c r="K18" s="10"/>
      <c r="L18" s="11" t="str">
        <f>IF(K18=0," ",IF(K18&lt;($G$7*$G$10*(1-(((100-$G$11)*K9)/100))),"Check","OK"))</f>
        <v xml:space="preserve"> </v>
      </c>
      <c r="M18" s="13">
        <f ca="1">M17-1</f>
        <v>4</v>
      </c>
      <c r="N18" s="9">
        <f ca="1">IF(M18&lt;0,N17-1,IF(M18=0,52,N17-1))</f>
        <v>4</v>
      </c>
      <c r="O18" s="12">
        <f>O17+1</f>
        <v>12</v>
      </c>
      <c r="P18" s="26"/>
      <c r="Q18" s="27"/>
      <c r="R18" s="28"/>
      <c r="S18" s="11" t="str">
        <f t="shared" ref="S18:S38" si="4">IF((P18+Q18+R18)=0," ",IF((P18+Q18+R18)&lt;($G$7*$G$10*(1-(((100-$G$11)*(T18/100))/100))),"Check","OK"))</f>
        <v xml:space="preserve"> </v>
      </c>
      <c r="T18" s="19">
        <f t="shared" ref="T18:T38" si="5">IF(O18&lt;$N$7,($L$9*100),IF(O18&lt;$O$7,($N$9*100),($O$9*100)))</f>
        <v>80</v>
      </c>
    </row>
    <row r="19" spans="1:20">
      <c r="A19" s="7">
        <f t="shared" ref="A19:A33" ca="1" si="6">A18-1</f>
        <v>14</v>
      </c>
      <c r="B19" s="8">
        <f t="shared" ca="1" si="2"/>
        <v>14</v>
      </c>
      <c r="C19" s="9">
        <f t="shared" ref="C19:C32" si="7">C18+1</f>
        <v>3</v>
      </c>
      <c r="D19" s="29"/>
      <c r="E19" s="11" t="str">
        <f t="shared" si="1"/>
        <v xml:space="preserve"> </v>
      </c>
      <c r="F19" s="9">
        <f t="shared" ref="F19:F21" si="8">F18+1</f>
        <v>2</v>
      </c>
      <c r="G19" s="29"/>
      <c r="H19" s="12" t="str">
        <f>IF(G19=0," ",IF(G19&lt;($G$7*$G$10*1.06),"Check","OK"))</f>
        <v xml:space="preserve"> </v>
      </c>
      <c r="I19" s="12" t="str">
        <f>I18</f>
        <v>piglets</v>
      </c>
      <c r="J19" s="9">
        <f t="shared" si="3"/>
        <v>6</v>
      </c>
      <c r="K19" s="29"/>
      <c r="L19" s="11" t="str">
        <f>IF(K19=0," ",IF(K19&lt;($G$7*$G$10*(1-(((100-$G$11)*K9)/100))),"Check","OK"))</f>
        <v xml:space="preserve"> </v>
      </c>
      <c r="M19" s="13">
        <f t="shared" ref="M19:M38" ca="1" si="9">M18-1</f>
        <v>3</v>
      </c>
      <c r="N19" s="9">
        <f t="shared" ref="N19:N38" ca="1" si="10">IF(M19&lt;0,N18-1,IF(M19=0,52,N18-1))</f>
        <v>3</v>
      </c>
      <c r="O19" s="12">
        <f t="shared" ref="O19:O38" si="11">O18+1</f>
        <v>13</v>
      </c>
      <c r="P19" s="14"/>
      <c r="Q19" s="15"/>
      <c r="R19" s="16"/>
      <c r="S19" s="11" t="str">
        <f t="shared" si="4"/>
        <v xml:space="preserve"> </v>
      </c>
      <c r="T19" s="19">
        <f t="shared" si="5"/>
        <v>80</v>
      </c>
    </row>
    <row r="20" spans="1:20">
      <c r="A20" s="7">
        <f t="shared" ca="1" si="6"/>
        <v>13</v>
      </c>
      <c r="B20" s="8">
        <f t="shared" ca="1" si="2"/>
        <v>13</v>
      </c>
      <c r="C20" s="9">
        <f t="shared" si="7"/>
        <v>4</v>
      </c>
      <c r="D20" s="10"/>
      <c r="E20" s="11" t="str">
        <f t="shared" si="1"/>
        <v xml:space="preserve"> </v>
      </c>
      <c r="F20" s="9">
        <f t="shared" si="8"/>
        <v>3</v>
      </c>
      <c r="G20" s="10"/>
      <c r="H20" s="12" t="str">
        <f>IF(G20=0," ",IF(G20&lt;($G$7*$G$10*1.03),"Check","OK"))</f>
        <v xml:space="preserve"> </v>
      </c>
      <c r="I20" s="12" t="str">
        <f>I18</f>
        <v>piglets</v>
      </c>
      <c r="J20" s="9">
        <f t="shared" si="3"/>
        <v>7</v>
      </c>
      <c r="K20" s="10"/>
      <c r="L20" s="11" t="str">
        <f>IF(K20=0," ",IF(K20&lt;($G$7*$G$10*(1-(((100-$G$11)*K9)/100))),"Check","OK"))</f>
        <v xml:space="preserve"> </v>
      </c>
      <c r="M20" s="13">
        <f t="shared" ca="1" si="9"/>
        <v>2</v>
      </c>
      <c r="N20" s="9">
        <f t="shared" ca="1" si="10"/>
        <v>2</v>
      </c>
      <c r="O20" s="12">
        <f t="shared" si="11"/>
        <v>14</v>
      </c>
      <c r="P20" s="26"/>
      <c r="Q20" s="27"/>
      <c r="R20" s="28"/>
      <c r="S20" s="11" t="str">
        <f t="shared" si="4"/>
        <v xml:space="preserve"> </v>
      </c>
      <c r="T20" s="19">
        <f t="shared" si="5"/>
        <v>80</v>
      </c>
    </row>
    <row r="21" spans="1:20">
      <c r="A21" s="7">
        <f t="shared" ca="1" si="6"/>
        <v>12</v>
      </c>
      <c r="B21" s="8">
        <f t="shared" ca="1" si="2"/>
        <v>12</v>
      </c>
      <c r="C21" s="9">
        <f t="shared" si="7"/>
        <v>5</v>
      </c>
      <c r="D21" s="29"/>
      <c r="E21" s="11" t="str">
        <f t="shared" si="1"/>
        <v xml:space="preserve"> </v>
      </c>
      <c r="F21" s="9">
        <f t="shared" si="8"/>
        <v>4</v>
      </c>
      <c r="G21" s="29"/>
      <c r="H21" s="12" t="str">
        <f>IF(G21=0," ",IF(G21&lt;($G$7*$G$10*1),"Check","OK"))</f>
        <v xml:space="preserve"> </v>
      </c>
      <c r="I21" s="12" t="str">
        <f>I18</f>
        <v>piglets</v>
      </c>
      <c r="J21" s="9">
        <f t="shared" si="3"/>
        <v>8</v>
      </c>
      <c r="K21" s="29"/>
      <c r="L21" s="11" t="str">
        <f>IF(K21=0," ",IF(K21&lt;($G$7*$G$10*(1-(((100-$G$11)*K9)/100))),"Check","OK"))</f>
        <v xml:space="preserve"> </v>
      </c>
      <c r="M21" s="13">
        <f t="shared" ca="1" si="9"/>
        <v>1</v>
      </c>
      <c r="N21" s="9">
        <f t="shared" ca="1" si="10"/>
        <v>1</v>
      </c>
      <c r="O21" s="12">
        <f t="shared" si="11"/>
        <v>15</v>
      </c>
      <c r="P21" s="14"/>
      <c r="Q21" s="15"/>
      <c r="R21" s="16"/>
      <c r="S21" s="11" t="str">
        <f t="shared" si="4"/>
        <v xml:space="preserve"> </v>
      </c>
      <c r="T21" s="19">
        <f t="shared" si="5"/>
        <v>80</v>
      </c>
    </row>
    <row r="22" spans="1:20">
      <c r="A22" s="7">
        <f t="shared" ca="1" si="6"/>
        <v>11</v>
      </c>
      <c r="B22" s="8">
        <f t="shared" ca="1" si="2"/>
        <v>11</v>
      </c>
      <c r="C22" s="9">
        <f t="shared" si="7"/>
        <v>6</v>
      </c>
      <c r="D22" s="10"/>
      <c r="E22" s="11" t="str">
        <f t="shared" si="1"/>
        <v xml:space="preserve"> </v>
      </c>
      <c r="F22" s="9">
        <f>F21+1</f>
        <v>5</v>
      </c>
      <c r="G22" s="10"/>
      <c r="H22" s="12" t="str">
        <f>IF(G22=0," ",IF(G22&lt;($G$7*$G$10*1),"Check","OK"))</f>
        <v xml:space="preserve"> </v>
      </c>
      <c r="I22" s="12" t="str">
        <f>I18</f>
        <v>piglets</v>
      </c>
      <c r="J22" s="9">
        <f t="shared" si="3"/>
        <v>9</v>
      </c>
      <c r="K22" s="10"/>
      <c r="L22" s="11" t="str">
        <f>IF(K22=0," ",IF(K22&lt;($G$7*$G$10*(1-(((100-$G$11)*L9)/100))),"Check","OK"))</f>
        <v xml:space="preserve"> </v>
      </c>
      <c r="M22" s="13">
        <f t="shared" ca="1" si="9"/>
        <v>0</v>
      </c>
      <c r="N22" s="9">
        <f t="shared" ca="1" si="10"/>
        <v>52</v>
      </c>
      <c r="O22" s="12">
        <f t="shared" si="11"/>
        <v>16</v>
      </c>
      <c r="P22" s="26"/>
      <c r="Q22" s="27"/>
      <c r="R22" s="28"/>
      <c r="S22" s="11" t="str">
        <f t="shared" si="4"/>
        <v xml:space="preserve"> </v>
      </c>
      <c r="T22" s="19">
        <f t="shared" si="5"/>
        <v>80</v>
      </c>
    </row>
    <row r="23" spans="1:20">
      <c r="A23" s="7">
        <f t="shared" ca="1" si="6"/>
        <v>10</v>
      </c>
      <c r="B23" s="8">
        <f t="shared" ca="1" si="2"/>
        <v>10</v>
      </c>
      <c r="C23" s="9">
        <f t="shared" si="7"/>
        <v>7</v>
      </c>
      <c r="D23" s="29"/>
      <c r="E23" s="11" t="str">
        <f t="shared" si="1"/>
        <v xml:space="preserve"> </v>
      </c>
      <c r="F23" s="9">
        <f>F22+1</f>
        <v>6</v>
      </c>
      <c r="G23" s="10"/>
      <c r="H23" s="12" t="str">
        <f>IF(G23=0," ",IF(G23&lt;($G$7*$G$10*1),"Check","OK"))</f>
        <v xml:space="preserve"> </v>
      </c>
      <c r="I23" s="12" t="str">
        <f>I18</f>
        <v>piglets</v>
      </c>
      <c r="J23" s="9">
        <f t="shared" si="3"/>
        <v>10</v>
      </c>
      <c r="K23" s="29"/>
      <c r="L23" s="11" t="str">
        <f>IF(K23=0," ",IF(K23&lt;($G$7*$G$10*(1-(((100-$G$11)*L9)/100))),"Check","OK"))</f>
        <v xml:space="preserve"> </v>
      </c>
      <c r="M23" s="13">
        <f t="shared" ca="1" si="9"/>
        <v>-1</v>
      </c>
      <c r="N23" s="9">
        <f t="shared" ca="1" si="10"/>
        <v>51</v>
      </c>
      <c r="O23" s="12">
        <f t="shared" si="11"/>
        <v>17</v>
      </c>
      <c r="P23" s="14"/>
      <c r="Q23" s="15"/>
      <c r="R23" s="16"/>
      <c r="S23" s="11" t="str">
        <f t="shared" si="4"/>
        <v xml:space="preserve"> </v>
      </c>
      <c r="T23" s="19">
        <f t="shared" si="5"/>
        <v>100</v>
      </c>
    </row>
    <row r="24" spans="1:20">
      <c r="A24" s="7">
        <f t="shared" ca="1" si="6"/>
        <v>9</v>
      </c>
      <c r="B24" s="8">
        <f t="shared" ca="1" si="2"/>
        <v>9</v>
      </c>
      <c r="C24" s="9">
        <f t="shared" si="7"/>
        <v>8</v>
      </c>
      <c r="D24" s="10"/>
      <c r="E24" s="11" t="str">
        <f t="shared" ref="E24:E32" si="12">IF(D24=0," ",IF(D24&lt;$G$7,"Check",IF(D24&gt;($G$7*1.15),"Check","OK")))</f>
        <v xml:space="preserve"> </v>
      </c>
      <c r="M24" s="13">
        <f t="shared" ca="1" si="9"/>
        <v>-2</v>
      </c>
      <c r="N24" s="9">
        <f t="shared" ca="1" si="10"/>
        <v>50</v>
      </c>
      <c r="O24" s="12">
        <f t="shared" si="11"/>
        <v>18</v>
      </c>
      <c r="P24" s="26"/>
      <c r="Q24" s="27"/>
      <c r="R24" s="28"/>
      <c r="S24" s="11" t="str">
        <f t="shared" si="4"/>
        <v xml:space="preserve"> </v>
      </c>
      <c r="T24" s="19">
        <f t="shared" si="5"/>
        <v>100</v>
      </c>
    </row>
    <row r="25" spans="1:20">
      <c r="A25" s="7">
        <f t="shared" ca="1" si="6"/>
        <v>8</v>
      </c>
      <c r="B25" s="8">
        <f t="shared" ca="1" si="2"/>
        <v>8</v>
      </c>
      <c r="C25" s="9">
        <f t="shared" si="7"/>
        <v>9</v>
      </c>
      <c r="D25" s="29"/>
      <c r="E25" s="11" t="str">
        <f t="shared" si="12"/>
        <v xml:space="preserve"> </v>
      </c>
      <c r="M25" s="13">
        <f t="shared" ca="1" si="9"/>
        <v>-3</v>
      </c>
      <c r="N25" s="9">
        <f t="shared" ca="1" si="10"/>
        <v>49</v>
      </c>
      <c r="O25" s="12">
        <f t="shared" si="11"/>
        <v>19</v>
      </c>
      <c r="P25" s="14"/>
      <c r="Q25" s="15"/>
      <c r="R25" s="16"/>
      <c r="S25" s="11" t="str">
        <f t="shared" si="4"/>
        <v xml:space="preserve"> </v>
      </c>
      <c r="T25" s="19">
        <f t="shared" si="5"/>
        <v>100</v>
      </c>
    </row>
    <row r="26" spans="1:20">
      <c r="A26" s="7">
        <f t="shared" ca="1" si="6"/>
        <v>7</v>
      </c>
      <c r="B26" s="8">
        <f t="shared" ca="1" si="2"/>
        <v>7</v>
      </c>
      <c r="C26" s="9">
        <f t="shared" si="7"/>
        <v>10</v>
      </c>
      <c r="D26" s="10"/>
      <c r="E26" s="11" t="str">
        <f t="shared" si="12"/>
        <v xml:space="preserve"> </v>
      </c>
      <c r="M26" s="13">
        <f t="shared" ca="1" si="9"/>
        <v>-4</v>
      </c>
      <c r="N26" s="9">
        <f t="shared" ca="1" si="10"/>
        <v>48</v>
      </c>
      <c r="O26" s="12">
        <f t="shared" si="11"/>
        <v>20</v>
      </c>
      <c r="P26" s="26"/>
      <c r="Q26" s="27"/>
      <c r="R26" s="28"/>
      <c r="S26" s="11" t="str">
        <f t="shared" si="4"/>
        <v xml:space="preserve"> </v>
      </c>
      <c r="T26" s="19">
        <f t="shared" si="5"/>
        <v>100</v>
      </c>
    </row>
    <row r="27" spans="1:20">
      <c r="A27" s="7">
        <f t="shared" ca="1" si="6"/>
        <v>6</v>
      </c>
      <c r="B27" s="8">
        <f t="shared" ca="1" si="2"/>
        <v>6</v>
      </c>
      <c r="C27" s="9">
        <f t="shared" si="7"/>
        <v>11</v>
      </c>
      <c r="D27" s="29"/>
      <c r="E27" s="11" t="str">
        <f t="shared" si="12"/>
        <v xml:space="preserve"> </v>
      </c>
      <c r="M27" s="13">
        <f t="shared" ca="1" si="9"/>
        <v>-5</v>
      </c>
      <c r="N27" s="9">
        <f t="shared" ca="1" si="10"/>
        <v>47</v>
      </c>
      <c r="O27" s="12">
        <f t="shared" si="11"/>
        <v>21</v>
      </c>
      <c r="P27" s="14"/>
      <c r="Q27" s="15"/>
      <c r="R27" s="16"/>
      <c r="S27" s="11" t="str">
        <f t="shared" si="4"/>
        <v xml:space="preserve"> </v>
      </c>
      <c r="T27" s="19">
        <f t="shared" si="5"/>
        <v>100</v>
      </c>
    </row>
    <row r="28" spans="1:20">
      <c r="A28" s="7">
        <f t="shared" ca="1" si="6"/>
        <v>5</v>
      </c>
      <c r="B28" s="8">
        <f t="shared" ca="1" si="2"/>
        <v>5</v>
      </c>
      <c r="C28" s="9">
        <f t="shared" si="7"/>
        <v>12</v>
      </c>
      <c r="D28" s="10"/>
      <c r="E28" s="11" t="str">
        <f t="shared" si="12"/>
        <v xml:space="preserve"> </v>
      </c>
      <c r="M28" s="13">
        <f t="shared" ca="1" si="9"/>
        <v>-6</v>
      </c>
      <c r="N28" s="9">
        <f t="shared" ca="1" si="10"/>
        <v>46</v>
      </c>
      <c r="O28" s="12">
        <f t="shared" si="11"/>
        <v>22</v>
      </c>
      <c r="P28" s="26"/>
      <c r="Q28" s="27"/>
      <c r="R28" s="28"/>
      <c r="S28" s="11" t="str">
        <f t="shared" si="4"/>
        <v xml:space="preserve"> </v>
      </c>
      <c r="T28" s="19">
        <f t="shared" si="5"/>
        <v>100</v>
      </c>
    </row>
    <row r="29" spans="1:20">
      <c r="A29" s="7">
        <f t="shared" ca="1" si="6"/>
        <v>4</v>
      </c>
      <c r="B29" s="8">
        <f t="shared" ca="1" si="2"/>
        <v>4</v>
      </c>
      <c r="C29" s="9">
        <f t="shared" si="7"/>
        <v>13</v>
      </c>
      <c r="D29" s="29"/>
      <c r="E29" s="11" t="str">
        <f t="shared" si="12"/>
        <v xml:space="preserve"> </v>
      </c>
      <c r="M29" s="13">
        <f t="shared" ca="1" si="9"/>
        <v>-7</v>
      </c>
      <c r="N29" s="9">
        <f t="shared" ca="1" si="10"/>
        <v>45</v>
      </c>
      <c r="O29" s="12">
        <f t="shared" si="11"/>
        <v>23</v>
      </c>
      <c r="P29" s="14"/>
      <c r="Q29" s="15"/>
      <c r="R29" s="16"/>
      <c r="S29" s="11" t="str">
        <f t="shared" si="4"/>
        <v xml:space="preserve"> </v>
      </c>
      <c r="T29" s="19">
        <f t="shared" si="5"/>
        <v>100</v>
      </c>
    </row>
    <row r="30" spans="1:20">
      <c r="A30" s="7">
        <f t="shared" ca="1" si="6"/>
        <v>3</v>
      </c>
      <c r="B30" s="8">
        <f t="shared" ca="1" si="2"/>
        <v>3</v>
      </c>
      <c r="C30" s="9">
        <f t="shared" si="7"/>
        <v>14</v>
      </c>
      <c r="D30" s="10"/>
      <c r="E30" s="11" t="str">
        <f t="shared" si="12"/>
        <v xml:space="preserve"> </v>
      </c>
      <c r="M30" s="13">
        <f t="shared" ca="1" si="9"/>
        <v>-8</v>
      </c>
      <c r="N30" s="9">
        <f t="shared" ca="1" si="10"/>
        <v>44</v>
      </c>
      <c r="O30" s="12">
        <f>O29+1</f>
        <v>24</v>
      </c>
      <c r="P30" s="26"/>
      <c r="Q30" s="27"/>
      <c r="R30" s="28"/>
      <c r="S30" s="11" t="str">
        <f t="shared" si="4"/>
        <v xml:space="preserve"> </v>
      </c>
      <c r="T30" s="19">
        <f t="shared" si="5"/>
        <v>100</v>
      </c>
    </row>
    <row r="31" spans="1:20">
      <c r="A31" s="7">
        <f t="shared" ca="1" si="6"/>
        <v>2</v>
      </c>
      <c r="B31" s="8">
        <f t="shared" ca="1" si="2"/>
        <v>2</v>
      </c>
      <c r="C31" s="9">
        <f t="shared" si="7"/>
        <v>15</v>
      </c>
      <c r="D31" s="29"/>
      <c r="E31" s="11" t="str">
        <f t="shared" si="12"/>
        <v xml:space="preserve"> </v>
      </c>
      <c r="M31" s="13">
        <f t="shared" ca="1" si="9"/>
        <v>-9</v>
      </c>
      <c r="N31" s="9">
        <f t="shared" ca="1" si="10"/>
        <v>43</v>
      </c>
      <c r="O31" s="12">
        <f t="shared" si="11"/>
        <v>25</v>
      </c>
      <c r="P31" s="14"/>
      <c r="Q31" s="15"/>
      <c r="R31" s="16"/>
      <c r="S31" s="11" t="str">
        <f t="shared" si="4"/>
        <v xml:space="preserve"> </v>
      </c>
      <c r="T31" s="19">
        <f t="shared" si="5"/>
        <v>100</v>
      </c>
    </row>
    <row r="32" spans="1:20">
      <c r="A32" s="7">
        <f t="shared" ca="1" si="6"/>
        <v>1</v>
      </c>
      <c r="B32" s="17">
        <f t="shared" ca="1" si="2"/>
        <v>1</v>
      </c>
      <c r="C32" s="9">
        <f t="shared" si="7"/>
        <v>16</v>
      </c>
      <c r="D32" s="10"/>
      <c r="E32" s="11" t="str">
        <f t="shared" si="12"/>
        <v xml:space="preserve"> </v>
      </c>
      <c r="M32" s="13">
        <f t="shared" ca="1" si="9"/>
        <v>-10</v>
      </c>
      <c r="N32" s="9">
        <f t="shared" ca="1" si="10"/>
        <v>42</v>
      </c>
      <c r="O32" s="12">
        <f t="shared" si="11"/>
        <v>26</v>
      </c>
      <c r="P32" s="26"/>
      <c r="Q32" s="27"/>
      <c r="R32" s="28"/>
      <c r="S32" s="11" t="str">
        <f t="shared" si="4"/>
        <v xml:space="preserve"> </v>
      </c>
      <c r="T32" s="19">
        <f t="shared" si="5"/>
        <v>100</v>
      </c>
    </row>
    <row r="33" spans="1:20">
      <c r="A33" s="7">
        <f t="shared" ca="1" si="6"/>
        <v>0</v>
      </c>
      <c r="B33" s="24"/>
      <c r="C33" s="25"/>
      <c r="D33" s="25"/>
      <c r="E33" s="25"/>
      <c r="M33" s="13">
        <f t="shared" ca="1" si="9"/>
        <v>-11</v>
      </c>
      <c r="N33" s="9">
        <f t="shared" ca="1" si="10"/>
        <v>41</v>
      </c>
      <c r="O33" s="12">
        <f t="shared" si="11"/>
        <v>27</v>
      </c>
      <c r="P33" s="14"/>
      <c r="Q33" s="15"/>
      <c r="R33" s="16"/>
      <c r="S33" s="11" t="str">
        <f t="shared" si="4"/>
        <v xml:space="preserve"> </v>
      </c>
      <c r="T33" s="19">
        <f t="shared" si="5"/>
        <v>100</v>
      </c>
    </row>
    <row r="34" spans="1:20">
      <c r="D34" s="18"/>
      <c r="M34" s="13">
        <f t="shared" ca="1" si="9"/>
        <v>-12</v>
      </c>
      <c r="N34" s="9">
        <f t="shared" ca="1" si="10"/>
        <v>40</v>
      </c>
      <c r="O34" s="12">
        <f t="shared" si="11"/>
        <v>28</v>
      </c>
      <c r="P34" s="26"/>
      <c r="Q34" s="27"/>
      <c r="R34" s="28"/>
      <c r="S34" s="11" t="str">
        <f t="shared" si="4"/>
        <v xml:space="preserve"> </v>
      </c>
      <c r="T34" s="19">
        <f t="shared" si="5"/>
        <v>100</v>
      </c>
    </row>
    <row r="35" spans="1:20">
      <c r="M35" s="13">
        <f t="shared" ca="1" si="9"/>
        <v>-13</v>
      </c>
      <c r="N35" s="9">
        <f t="shared" ca="1" si="10"/>
        <v>39</v>
      </c>
      <c r="O35" s="12">
        <f t="shared" si="11"/>
        <v>29</v>
      </c>
      <c r="P35" s="14"/>
      <c r="Q35" s="15"/>
      <c r="R35" s="16"/>
      <c r="S35" s="11" t="str">
        <f t="shared" si="4"/>
        <v xml:space="preserve"> </v>
      </c>
      <c r="T35" s="19">
        <f t="shared" si="5"/>
        <v>100</v>
      </c>
    </row>
    <row r="36" spans="1:20">
      <c r="M36" s="13">
        <f t="shared" ca="1" si="9"/>
        <v>-14</v>
      </c>
      <c r="N36" s="9">
        <f t="shared" ca="1" si="10"/>
        <v>38</v>
      </c>
      <c r="O36" s="12">
        <f t="shared" si="11"/>
        <v>30</v>
      </c>
      <c r="P36" s="26"/>
      <c r="Q36" s="27"/>
      <c r="R36" s="28"/>
      <c r="S36" s="11" t="str">
        <f t="shared" si="4"/>
        <v xml:space="preserve"> </v>
      </c>
      <c r="T36" s="19">
        <f t="shared" si="5"/>
        <v>100</v>
      </c>
    </row>
    <row r="37" spans="1:20">
      <c r="M37" s="13">
        <f t="shared" ca="1" si="9"/>
        <v>-15</v>
      </c>
      <c r="N37" s="9">
        <f t="shared" ca="1" si="10"/>
        <v>37</v>
      </c>
      <c r="O37" s="12">
        <f t="shared" si="11"/>
        <v>31</v>
      </c>
      <c r="P37" s="14"/>
      <c r="Q37" s="15"/>
      <c r="R37" s="16"/>
      <c r="S37" s="11" t="str">
        <f t="shared" si="4"/>
        <v xml:space="preserve"> </v>
      </c>
      <c r="T37" s="19">
        <f t="shared" si="5"/>
        <v>100</v>
      </c>
    </row>
    <row r="38" spans="1:20">
      <c r="M38" s="13">
        <f t="shared" ca="1" si="9"/>
        <v>-16</v>
      </c>
      <c r="N38" s="9">
        <f t="shared" ca="1" si="10"/>
        <v>36</v>
      </c>
      <c r="O38" s="12">
        <f t="shared" si="11"/>
        <v>32</v>
      </c>
      <c r="P38" s="26"/>
      <c r="Q38" s="27"/>
      <c r="R38" s="28"/>
      <c r="S38" s="11" t="str">
        <f t="shared" si="4"/>
        <v xml:space="preserve"> </v>
      </c>
      <c r="T38" s="19">
        <f t="shared" si="5"/>
        <v>100</v>
      </c>
    </row>
  </sheetData>
  <mergeCells count="16">
    <mergeCell ref="G7:H7"/>
    <mergeCell ref="O15:S15"/>
    <mergeCell ref="C16:E16"/>
    <mergeCell ref="F16:I16"/>
    <mergeCell ref="J16:L16"/>
    <mergeCell ref="G8:H8"/>
    <mergeCell ref="G9:H9"/>
    <mergeCell ref="G10:H10"/>
    <mergeCell ref="G11:H11"/>
    <mergeCell ref="G12:H12"/>
    <mergeCell ref="G13:H13"/>
    <mergeCell ref="F3:H3"/>
    <mergeCell ref="J3:K3"/>
    <mergeCell ref="G6:H6"/>
    <mergeCell ref="K6:L6"/>
    <mergeCell ref="N6:O6"/>
  </mergeCells>
  <conditionalFormatting sqref="E17:E33 H17:H23 L17:L22 S17:S38">
    <cfRule type="containsText" dxfId="24" priority="14" operator="containsText" text="Check">
      <formula>NOT(ISERROR(SEARCH("Check",E17)))</formula>
    </cfRule>
  </conditionalFormatting>
  <conditionalFormatting sqref="F21:I21">
    <cfRule type="expression" dxfId="23" priority="13">
      <formula>$F$21&gt;$G$9</formula>
    </cfRule>
  </conditionalFormatting>
  <conditionalFormatting sqref="F22:I23">
    <cfRule type="expression" dxfId="22" priority="12">
      <formula>$F$22&gt;$G$9</formula>
    </cfRule>
  </conditionalFormatting>
  <conditionalFormatting sqref="F23:I23">
    <cfRule type="expression" dxfId="21" priority="11">
      <formula>$F$23&gt;$G$9</formula>
    </cfRule>
  </conditionalFormatting>
  <conditionalFormatting sqref="G23">
    <cfRule type="expression" dxfId="20" priority="10">
      <formula>$F$23&gt;$G$9</formula>
    </cfRule>
  </conditionalFormatting>
  <conditionalFormatting sqref="G22">
    <cfRule type="expression" dxfId="19" priority="9">
      <formula>$F$22&gt;$G$9</formula>
    </cfRule>
  </conditionalFormatting>
  <conditionalFormatting sqref="J23:L23">
    <cfRule type="expression" dxfId="18" priority="8">
      <formula>$G$9&gt;3</formula>
    </cfRule>
  </conditionalFormatting>
  <conditionalFormatting sqref="J22 L22">
    <cfRule type="expression" dxfId="17" priority="7">
      <formula>$G$9&gt;4</formula>
    </cfRule>
  </conditionalFormatting>
  <conditionalFormatting sqref="P17:P38 R17:R38">
    <cfRule type="cellIs" dxfId="16" priority="4" operator="equal">
      <formula>0</formula>
    </cfRule>
  </conditionalFormatting>
  <conditionalFormatting sqref="K22">
    <cfRule type="expression" dxfId="15" priority="1">
      <formula>$G$9=5</formula>
    </cfRule>
  </conditionalFormatting>
  <dataValidations count="2">
    <dataValidation type="list" allowBlank="1" showInputMessage="1" showErrorMessage="1" sqref="G9:H9">
      <formula1>$I$5:$I$6</formula1>
    </dataValidation>
    <dataValidation type="list" allowBlank="1" showInputMessage="1" showErrorMessage="1" sqref="O10">
      <formula1>$R$9:$R$10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9"/>
  <sheetViews>
    <sheetView tabSelected="1" workbookViewId="0"/>
  </sheetViews>
  <sheetFormatPr defaultRowHeight="12.75"/>
  <cols>
    <col min="1" max="1" width="1" style="1" customWidth="1"/>
    <col min="2" max="2" width="9.140625" style="1"/>
    <col min="3" max="3" width="4.140625" style="1" customWidth="1"/>
    <col min="4" max="4" width="6" style="1" customWidth="1"/>
    <col min="5" max="5" width="7.5703125" style="1" customWidth="1"/>
    <col min="6" max="6" width="4.85546875" style="1" customWidth="1"/>
    <col min="7" max="7" width="6.28515625" style="1" customWidth="1"/>
    <col min="8" max="8" width="7.28515625" style="1" customWidth="1"/>
    <col min="9" max="9" width="8.140625" style="1" customWidth="1"/>
    <col min="10" max="10" width="5.28515625" style="1" customWidth="1"/>
    <col min="11" max="11" width="6" style="1" customWidth="1"/>
    <col min="12" max="12" width="6.7109375" style="1" customWidth="1"/>
    <col min="13" max="13" width="2" style="1" customWidth="1"/>
    <col min="14" max="14" width="5.85546875" style="1" customWidth="1"/>
    <col min="15" max="15" width="5.7109375" style="1" customWidth="1"/>
    <col min="16" max="16" width="5.85546875" style="1" customWidth="1"/>
    <col min="17" max="17" width="7.28515625" style="1" customWidth="1"/>
    <col min="18" max="18" width="7.140625" style="1" customWidth="1"/>
    <col min="19" max="19" width="7.42578125" style="1" customWidth="1"/>
    <col min="20" max="16384" width="9.140625" style="1"/>
  </cols>
  <sheetData>
    <row r="1" spans="1:20" ht="15">
      <c r="A1" s="3" t="s">
        <v>0</v>
      </c>
      <c r="B1" s="3"/>
      <c r="G1" s="1" t="s">
        <v>37</v>
      </c>
    </row>
    <row r="2" spans="1:20">
      <c r="A2" s="1" t="s">
        <v>38</v>
      </c>
      <c r="H2" s="1" t="s">
        <v>30</v>
      </c>
    </row>
    <row r="3" spans="1:20">
      <c r="A3" s="2"/>
      <c r="E3" s="4" t="s">
        <v>21</v>
      </c>
      <c r="F3" s="31">
        <f ca="1">TODAY()</f>
        <v>40282</v>
      </c>
      <c r="G3" s="32"/>
      <c r="H3" s="33"/>
      <c r="I3" s="4" t="s">
        <v>20</v>
      </c>
      <c r="J3" s="34">
        <f ca="1">WEEKNUM(F3)</f>
        <v>16</v>
      </c>
      <c r="K3" s="33"/>
    </row>
    <row r="4" spans="1:20">
      <c r="A4" s="1" t="s">
        <v>34</v>
      </c>
    </row>
    <row r="5" spans="1:20">
      <c r="K5" s="1" t="s">
        <v>41</v>
      </c>
    </row>
    <row r="6" spans="1:20">
      <c r="F6" s="4" t="s">
        <v>13</v>
      </c>
      <c r="G6" s="40">
        <f ca="1">Actual!G6</f>
        <v>16</v>
      </c>
      <c r="H6" s="41"/>
      <c r="K6" s="37" t="s">
        <v>11</v>
      </c>
      <c r="L6" s="37"/>
      <c r="N6" s="37" t="s">
        <v>31</v>
      </c>
      <c r="O6" s="37"/>
    </row>
    <row r="7" spans="1:20">
      <c r="F7" s="4" t="s">
        <v>1</v>
      </c>
      <c r="G7" s="35">
        <f>Actual!$G$7</f>
        <v>20</v>
      </c>
      <c r="H7" s="36"/>
      <c r="K7" s="21">
        <f>Actual!$K$7</f>
        <v>8</v>
      </c>
      <c r="L7" s="21">
        <f>Actual!$L$7</f>
        <v>10</v>
      </c>
      <c r="N7" s="21">
        <f>Actual!$N$7</f>
        <v>12</v>
      </c>
      <c r="O7" s="21">
        <f>Actual!$O$7</f>
        <v>17</v>
      </c>
      <c r="P7" s="1" t="s">
        <v>32</v>
      </c>
    </row>
    <row r="8" spans="1:20">
      <c r="F8" s="4" t="s">
        <v>3</v>
      </c>
      <c r="G8" s="35">
        <f>Actual!$G$8</f>
        <v>82</v>
      </c>
      <c r="H8" s="36"/>
      <c r="I8" s="1" t="s">
        <v>4</v>
      </c>
      <c r="K8" s="21">
        <f>Actual!$K$8</f>
        <v>2</v>
      </c>
      <c r="L8" s="21">
        <f>Actual!$L$8</f>
        <v>3</v>
      </c>
      <c r="N8" s="21">
        <f>Actual!$N$8</f>
        <v>4</v>
      </c>
      <c r="O8" s="22">
        <f>(100-$G$11)</f>
        <v>5</v>
      </c>
      <c r="P8" s="1" t="s">
        <v>33</v>
      </c>
    </row>
    <row r="9" spans="1:20">
      <c r="F9" s="4" t="s">
        <v>16</v>
      </c>
      <c r="G9" s="35">
        <f>Actual!$G$9</f>
        <v>3</v>
      </c>
      <c r="H9" s="36"/>
      <c r="I9" s="1" t="s">
        <v>7</v>
      </c>
      <c r="K9" s="7">
        <f>K8/(100-$G$11)</f>
        <v>0.4</v>
      </c>
      <c r="L9" s="7">
        <f t="shared" ref="L9:O9" si="0">L8/(100-$G$11)</f>
        <v>0.6</v>
      </c>
      <c r="M9" s="7"/>
      <c r="N9" s="7">
        <f t="shared" si="0"/>
        <v>0.8</v>
      </c>
      <c r="O9" s="7">
        <f t="shared" si="0"/>
        <v>1</v>
      </c>
    </row>
    <row r="10" spans="1:20">
      <c r="F10" s="4" t="s">
        <v>22</v>
      </c>
      <c r="G10" s="35">
        <f>Actual!$G$10</f>
        <v>10</v>
      </c>
      <c r="H10" s="36"/>
      <c r="I10" s="1" t="s">
        <v>23</v>
      </c>
      <c r="N10" s="4" t="s">
        <v>42</v>
      </c>
      <c r="O10" s="21" t="str">
        <f>Actual!$O$10</f>
        <v>Y</v>
      </c>
      <c r="P10" s="1" t="s">
        <v>44</v>
      </c>
    </row>
    <row r="11" spans="1:20">
      <c r="F11" s="4" t="s">
        <v>2</v>
      </c>
      <c r="G11" s="35">
        <f>Actual!$G$11</f>
        <v>95</v>
      </c>
      <c r="H11" s="36"/>
      <c r="I11" s="1" t="s">
        <v>4</v>
      </c>
    </row>
    <row r="12" spans="1:20">
      <c r="F12" s="4" t="s">
        <v>5</v>
      </c>
      <c r="G12" s="35">
        <f>Actual!$G$12</f>
        <v>100</v>
      </c>
      <c r="H12" s="36"/>
      <c r="I12" s="1" t="s">
        <v>6</v>
      </c>
      <c r="N12" s="1" t="s">
        <v>29</v>
      </c>
    </row>
    <row r="13" spans="1:20">
      <c r="F13" s="4" t="s">
        <v>8</v>
      </c>
      <c r="G13" s="38">
        <f>(ROUNDUP(-0.0744*POWER(((G12/10)+1),2)+2.7618*((G12/10)+1)-0.2818,0))+2</f>
        <v>24</v>
      </c>
      <c r="H13" s="39"/>
      <c r="I13" s="1" t="s">
        <v>15</v>
      </c>
      <c r="N13" s="1" t="s">
        <v>28</v>
      </c>
    </row>
    <row r="14" spans="1:20">
      <c r="N14" s="1" t="s">
        <v>27</v>
      </c>
    </row>
    <row r="15" spans="1:20">
      <c r="A15" s="1" t="s">
        <v>0</v>
      </c>
      <c r="N15" s="5" t="s">
        <v>20</v>
      </c>
      <c r="O15" s="34" t="s">
        <v>12</v>
      </c>
      <c r="P15" s="32"/>
      <c r="Q15" s="32"/>
      <c r="R15" s="32"/>
      <c r="S15" s="33"/>
      <c r="T15" s="19" t="s">
        <v>26</v>
      </c>
    </row>
    <row r="16" spans="1:20">
      <c r="B16" s="6" t="s">
        <v>17</v>
      </c>
      <c r="C16" s="34" t="s">
        <v>9</v>
      </c>
      <c r="D16" s="32"/>
      <c r="E16" s="33"/>
      <c r="F16" s="34" t="s">
        <v>10</v>
      </c>
      <c r="G16" s="32"/>
      <c r="H16" s="32"/>
      <c r="I16" s="33"/>
      <c r="J16" s="34" t="s">
        <v>11</v>
      </c>
      <c r="K16" s="32"/>
      <c r="L16" s="33"/>
      <c r="O16" s="20" t="s">
        <v>39</v>
      </c>
      <c r="P16" s="5" t="s">
        <v>24</v>
      </c>
      <c r="Q16" s="23" t="s">
        <v>36</v>
      </c>
      <c r="R16" s="5" t="s">
        <v>25</v>
      </c>
      <c r="T16" s="19"/>
    </row>
    <row r="17" spans="1:20">
      <c r="A17" s="7">
        <f ca="1">G6</f>
        <v>16</v>
      </c>
      <c r="B17" s="8">
        <f ca="1">IF(A17=0,52,A17)</f>
        <v>16</v>
      </c>
      <c r="C17" s="9">
        <v>1</v>
      </c>
      <c r="D17" s="29"/>
      <c r="E17" s="11"/>
      <c r="F17" s="9">
        <v>0</v>
      </c>
      <c r="G17" s="29"/>
      <c r="H17" s="12"/>
      <c r="I17" s="12"/>
      <c r="J17" s="9">
        <f>G9+1</f>
        <v>4</v>
      </c>
      <c r="K17" s="29"/>
      <c r="L17" s="11"/>
      <c r="M17" s="13">
        <f ca="1">B27-1</f>
        <v>5</v>
      </c>
      <c r="N17" s="9">
        <f ca="1">IF(M17&lt;=0,52,M17)</f>
        <v>5</v>
      </c>
      <c r="O17" s="12">
        <f>IF(G9=3,J23+1,IF(G9=4,J22+1,J21+1))</f>
        <v>11</v>
      </c>
      <c r="P17" s="14">
        <f>IF(O17&gt;=$G$13,0,IF(O17=($G$13-1),(ROUNDUP((ROUNDUP(($G$7*$G$10*(1-(((100-$G$11)*(T17/100))/100))),0)*0.05),0)-Q17),IF(O17=($G$13-2),(ROUNDUP((ROUNDUP(($G$7*$G$10*(1-(((100-$G$11)*(T17/100))/100))),0)*0.15),0)-Q17),IF(O17=($G$13-3),(ROUNDUP((ROUNDUP(($G$7*$G$10*(1-(((100-$G$11)*(T17/100))/100))),0)*0.4),0)-Q17),IF(O17=($G$13-4),(ROUNDUP((ROUNDUP(($G$7*$G$10*(1-(((100-$G$11)*(T17/100))/100))),0)*0.7),0)-Q17),IF(O17=($G$13-5),(ROUNDUP((ROUNDUP(($G$7*$G$10*(1-(((100-$G$11)*(T17/100))/100))),0)*0.94),0)-Q17),(ROUNDUP(($G$7*$G$10*(1-(((100-$G$11)*(T17/100))/100))),0)-Q17)))))))</f>
        <v>194</v>
      </c>
      <c r="Q17" s="15">
        <f>IF(O17&lt;=15,0,IF(O17&gt;$G$13,0,IF($O$10="y",ROUNDUP(($D$18/10)*1.2,0),0)))</f>
        <v>0</v>
      </c>
      <c r="R17" s="16">
        <f>IF(O17&gt;$G$13,0,IF(O17=$G$13,((ROUNDUP(($G$7*$G$10*(1-(((100-$G$11)*(T17/100))/100))),0))-Q17),IF((ROUNDUP((($G$7*$G$10*(1-(((100-$G$11)*(T17/100))/100)))-(P17)),0)-Q17)=-1,0,(ROUNDUP((($G$7*$G$10*(1-(((100-$G$11)*(T17/100))/100)))-(P17)),0)-Q17))))</f>
        <v>0</v>
      </c>
      <c r="S17" s="11" t="str">
        <f>IF((P17+Q17+R17)=0," ",IF((P17+Q17+R17)&lt;($G$7*$G$10*(1-(((100-$G$11)*(T17/100))/100))),"Check","OK"))</f>
        <v>OK</v>
      </c>
      <c r="T17" s="19">
        <f>IF(O17&lt;$N$7,($L$9*100),IF(O17&lt;$O$7,($N$9*100),($O$9*100)))</f>
        <v>60</v>
      </c>
    </row>
    <row r="18" spans="1:20">
      <c r="A18" s="7">
        <f ca="1">A17-1</f>
        <v>15</v>
      </c>
      <c r="B18" s="8">
        <f t="shared" ref="B18:B32" ca="1" si="1">IF(A18=0,52,A18)</f>
        <v>15</v>
      </c>
      <c r="C18" s="9">
        <f>C17+1</f>
        <v>2</v>
      </c>
      <c r="D18" s="10">
        <f t="shared" ref="D18:D22" si="2">ROUNDUP($G$7/($G$8/100),0)</f>
        <v>25</v>
      </c>
      <c r="E18" s="11" t="str">
        <f t="shared" ref="E18:E22" si="3">IF(D18=0," ",IF(D18&lt;(ROUNDUP($G$7/($G$8/100),0)),"Check",IF(D18&gt;(ROUNDUP($G$7/($G$8/100),0)*1.2),"Check","OK")))</f>
        <v>OK</v>
      </c>
      <c r="F18" s="9">
        <f>F17+1</f>
        <v>1</v>
      </c>
      <c r="G18" s="10">
        <f>ROUNDUP(($G$7*$G$10*1.12),0)</f>
        <v>224</v>
      </c>
      <c r="H18" s="12" t="str">
        <f>IF(G18=0," ",IF(G18&lt;($G$7*$G$10*1.12),"Check","OK"))</f>
        <v>OK</v>
      </c>
      <c r="I18" s="12" t="s">
        <v>19</v>
      </c>
      <c r="J18" s="9">
        <f t="shared" ref="J18:J23" si="4">J17+1</f>
        <v>5</v>
      </c>
      <c r="K18" s="10">
        <f>ROUNDUP(($G$7*$G$10*(1-(((100-$G$11)*0.4)/100))),0)</f>
        <v>196</v>
      </c>
      <c r="L18" s="11" t="str">
        <f>IF(K18=0," ",IF(K18&lt;($G$7*$G$10*(1-(((100-$G$11)*K9)/100))),"Check","OK"))</f>
        <v>OK</v>
      </c>
      <c r="M18" s="13">
        <f ca="1">M17-1</f>
        <v>4</v>
      </c>
      <c r="N18" s="9">
        <f ca="1">IF(M18&lt;0,N17-1,IF(M18=0,52,N17-1))</f>
        <v>4</v>
      </c>
      <c r="O18" s="12">
        <f>O17+1</f>
        <v>12</v>
      </c>
      <c r="P18" s="26"/>
      <c r="Q18" s="27"/>
      <c r="R18" s="28"/>
      <c r="S18" s="11"/>
      <c r="T18" s="19">
        <f t="shared" ref="T18:T38" si="5">IF(O18&lt;$N$7,($L$9*100),IF(O18&lt;$O$7,($N$9*100),($O$9*100)))</f>
        <v>80</v>
      </c>
    </row>
    <row r="19" spans="1:20">
      <c r="A19" s="7">
        <f t="shared" ref="A19:A33" ca="1" si="6">A18-1</f>
        <v>14</v>
      </c>
      <c r="B19" s="8">
        <f t="shared" ca="1" si="1"/>
        <v>14</v>
      </c>
      <c r="C19" s="9">
        <f t="shared" ref="C19:C32" si="7">C18+1</f>
        <v>3</v>
      </c>
      <c r="D19" s="29"/>
      <c r="E19" s="11"/>
      <c r="F19" s="9">
        <f t="shared" ref="F19:F21" si="8">F18+1</f>
        <v>2</v>
      </c>
      <c r="G19" s="29"/>
      <c r="H19" s="12"/>
      <c r="I19" s="12"/>
      <c r="J19" s="9">
        <f t="shared" si="4"/>
        <v>6</v>
      </c>
      <c r="K19" s="29"/>
      <c r="L19" s="11"/>
      <c r="M19" s="13">
        <f t="shared" ref="M19:M38" ca="1" si="9">M18-1</f>
        <v>3</v>
      </c>
      <c r="N19" s="9">
        <f t="shared" ref="N19:N33" ca="1" si="10">IF(M19&lt;0,N18-1,IF(M19=0,52,N18-1))</f>
        <v>3</v>
      </c>
      <c r="O19" s="12">
        <f t="shared" ref="O19:O38" si="11">O18+1</f>
        <v>13</v>
      </c>
      <c r="P19" s="14">
        <f t="shared" ref="P19:P37" si="12">IF(O19&gt;=$G$13,0,IF(O19=($G$13-1),(ROUNDUP((ROUNDUP(($G$7*$G$10*(1-(((100-$G$11)*(T19/100))/100))),0)*0.05),0)-Q19),IF(O19=($G$13-2),(ROUNDUP((ROUNDUP(($G$7*$G$10*(1-(((100-$G$11)*(T19/100))/100))),0)*0.15),0)-Q19),IF(O19=($G$13-3),(ROUNDUP((ROUNDUP(($G$7*$G$10*(1-(((100-$G$11)*(T19/100))/100))),0)*0.4),0)-Q19),IF(O19=($G$13-4),(ROUNDUP((ROUNDUP(($G$7*$G$10*(1-(((100-$G$11)*(T19/100))/100))),0)*0.7),0)-Q19),IF(O19=($G$13-5),(ROUNDUP((ROUNDUP(($G$7*$G$10*(1-(((100-$G$11)*(T19/100))/100))),0)*0.94),0)-Q19),(ROUNDUP(($G$7*$G$10*(1-(((100-$G$11)*(T19/100))/100))),0)-Q19)))))))</f>
        <v>192</v>
      </c>
      <c r="Q19" s="15">
        <f t="shared" ref="Q19:Q37" si="13">IF(O19&lt;=15,0,IF(O19&gt;$G$13,0,IF($O$10="y",ROUNDUP(($D$18/10)*1.2,0),0)))</f>
        <v>0</v>
      </c>
      <c r="R19" s="16">
        <f t="shared" ref="R19:R37" si="14">IF(O19&gt;$G$13,0,IF(O19=$G$13,((ROUNDUP(($G$7*$G$10*(1-(((100-$G$11)*(T19/100))/100))),0))-Q19),IF((ROUNDUP((($G$7*$G$10*(1-(((100-$G$11)*(T19/100))/100)))-(P19)),0)-Q19)=-1,0,(ROUNDUP((($G$7*$G$10*(1-(((100-$G$11)*(T19/100))/100)))-(P19)),0)-Q19))))</f>
        <v>0</v>
      </c>
      <c r="S19" s="11" t="str">
        <f t="shared" ref="S19:S37" si="15">IF((P19+Q19+R19)=0," ",IF((P19+Q19+R19)&lt;($G$7*$G$10*(1-(((100-$G$11)*(T19/100))/100))),"Check","OK"))</f>
        <v>OK</v>
      </c>
      <c r="T19" s="19">
        <f t="shared" si="5"/>
        <v>80</v>
      </c>
    </row>
    <row r="20" spans="1:20">
      <c r="A20" s="7">
        <f t="shared" ca="1" si="6"/>
        <v>13</v>
      </c>
      <c r="B20" s="8">
        <f t="shared" ca="1" si="1"/>
        <v>13</v>
      </c>
      <c r="C20" s="9">
        <f t="shared" si="7"/>
        <v>4</v>
      </c>
      <c r="D20" s="10">
        <f t="shared" si="2"/>
        <v>25</v>
      </c>
      <c r="E20" s="11" t="str">
        <f t="shared" si="3"/>
        <v>OK</v>
      </c>
      <c r="F20" s="9">
        <f t="shared" si="8"/>
        <v>3</v>
      </c>
      <c r="G20" s="10">
        <f>ROUNDUP(($G$7*$G$10*1.03),0)</f>
        <v>206</v>
      </c>
      <c r="H20" s="12" t="str">
        <f>IF(G20=0," ",IF(G20&lt;($G$7*$G$10*1.03),"Check","OK"))</f>
        <v>OK</v>
      </c>
      <c r="I20" s="12" t="str">
        <f>I18</f>
        <v>piglets</v>
      </c>
      <c r="J20" s="9">
        <f t="shared" si="4"/>
        <v>7</v>
      </c>
      <c r="K20" s="10">
        <f>ROUNDUP(($G$7*$G$10*(1-(((100-$G$11)*0.4)/100))),0)</f>
        <v>196</v>
      </c>
      <c r="L20" s="11" t="str">
        <f>IF(K20=0," ",IF(K20&lt;($G$7*$G$10*(1-(((100-$G$11)*K9)/100))),"Check","OK"))</f>
        <v>OK</v>
      </c>
      <c r="M20" s="13">
        <f t="shared" ca="1" si="9"/>
        <v>2</v>
      </c>
      <c r="N20" s="9">
        <f t="shared" ca="1" si="10"/>
        <v>2</v>
      </c>
      <c r="O20" s="12">
        <f t="shared" si="11"/>
        <v>14</v>
      </c>
      <c r="P20" s="26"/>
      <c r="Q20" s="27"/>
      <c r="R20" s="28"/>
      <c r="S20" s="11"/>
      <c r="T20" s="19">
        <f t="shared" si="5"/>
        <v>80</v>
      </c>
    </row>
    <row r="21" spans="1:20">
      <c r="A21" s="7">
        <f t="shared" ca="1" si="6"/>
        <v>12</v>
      </c>
      <c r="B21" s="8">
        <f t="shared" ca="1" si="1"/>
        <v>12</v>
      </c>
      <c r="C21" s="9">
        <f t="shared" si="7"/>
        <v>5</v>
      </c>
      <c r="D21" s="29"/>
      <c r="E21" s="11"/>
      <c r="F21" s="9">
        <f t="shared" si="8"/>
        <v>4</v>
      </c>
      <c r="G21" s="29"/>
      <c r="H21" s="12"/>
      <c r="I21" s="12"/>
      <c r="J21" s="9">
        <f t="shared" si="4"/>
        <v>8</v>
      </c>
      <c r="K21" s="29"/>
      <c r="L21" s="11"/>
      <c r="M21" s="13">
        <f t="shared" ca="1" si="9"/>
        <v>1</v>
      </c>
      <c r="N21" s="9">
        <f t="shared" ca="1" si="10"/>
        <v>1</v>
      </c>
      <c r="O21" s="12">
        <f t="shared" si="11"/>
        <v>15</v>
      </c>
      <c r="P21" s="14">
        <f t="shared" si="12"/>
        <v>192</v>
      </c>
      <c r="Q21" s="15">
        <f t="shared" si="13"/>
        <v>0</v>
      </c>
      <c r="R21" s="16">
        <f t="shared" si="14"/>
        <v>0</v>
      </c>
      <c r="S21" s="11" t="str">
        <f t="shared" si="15"/>
        <v>OK</v>
      </c>
      <c r="T21" s="19">
        <f t="shared" si="5"/>
        <v>80</v>
      </c>
    </row>
    <row r="22" spans="1:20">
      <c r="A22" s="7">
        <f t="shared" ca="1" si="6"/>
        <v>11</v>
      </c>
      <c r="B22" s="8">
        <f t="shared" ca="1" si="1"/>
        <v>11</v>
      </c>
      <c r="C22" s="9">
        <f t="shared" si="7"/>
        <v>6</v>
      </c>
      <c r="D22" s="10">
        <f t="shared" si="2"/>
        <v>25</v>
      </c>
      <c r="E22" s="11" t="str">
        <f t="shared" si="3"/>
        <v>OK</v>
      </c>
      <c r="F22" s="9">
        <f>F21+1</f>
        <v>5</v>
      </c>
      <c r="G22" s="10">
        <f>ROUNDUP(($G$7*$G$10*1),0)</f>
        <v>200</v>
      </c>
      <c r="H22" s="12" t="str">
        <f>IF(G22=0," ",IF(G22&lt;($G$7*$G$10*1),"Check","OK"))</f>
        <v>OK</v>
      </c>
      <c r="I22" s="12" t="str">
        <f>I18</f>
        <v>piglets</v>
      </c>
      <c r="J22" s="9">
        <f t="shared" si="4"/>
        <v>9</v>
      </c>
      <c r="K22" s="10">
        <f>ROUNDUP(($G$7*$G$10*(1-(((100-$G$11)*0.6)/100))),0)</f>
        <v>194</v>
      </c>
      <c r="L22" s="11" t="str">
        <f>IF(K22=0," ",IF(K22&lt;($G$7*$G$10*(1-(((100-$G$11)*L9)/100))),"Check","OK"))</f>
        <v>OK</v>
      </c>
      <c r="M22" s="13">
        <f t="shared" ca="1" si="9"/>
        <v>0</v>
      </c>
      <c r="N22" s="9">
        <f t="shared" ca="1" si="10"/>
        <v>52</v>
      </c>
      <c r="O22" s="12">
        <f t="shared" si="11"/>
        <v>16</v>
      </c>
      <c r="P22" s="26"/>
      <c r="Q22" s="27"/>
      <c r="R22" s="28"/>
      <c r="S22" s="11"/>
      <c r="T22" s="19">
        <f t="shared" si="5"/>
        <v>80</v>
      </c>
    </row>
    <row r="23" spans="1:20">
      <c r="A23" s="7">
        <f t="shared" ca="1" si="6"/>
        <v>10</v>
      </c>
      <c r="B23" s="8">
        <f t="shared" ca="1" si="1"/>
        <v>10</v>
      </c>
      <c r="C23" s="9">
        <f t="shared" si="7"/>
        <v>7</v>
      </c>
      <c r="D23" s="29"/>
      <c r="E23" s="11"/>
      <c r="F23" s="9">
        <f>F22+1</f>
        <v>6</v>
      </c>
      <c r="G23" s="10"/>
      <c r="H23" s="12" t="str">
        <f>IF(G23=0," ",IF(G23&lt;($G$7*$G$10*1),"Check","OK"))</f>
        <v xml:space="preserve"> </v>
      </c>
      <c r="I23" s="12" t="str">
        <f>I18</f>
        <v>piglets</v>
      </c>
      <c r="J23" s="9">
        <f t="shared" si="4"/>
        <v>10</v>
      </c>
      <c r="K23" s="29"/>
      <c r="L23" s="11"/>
      <c r="M23" s="13">
        <f t="shared" ca="1" si="9"/>
        <v>-1</v>
      </c>
      <c r="N23" s="9">
        <f t="shared" ca="1" si="10"/>
        <v>51</v>
      </c>
      <c r="O23" s="12">
        <f t="shared" si="11"/>
        <v>17</v>
      </c>
      <c r="P23" s="14">
        <f t="shared" si="12"/>
        <v>187</v>
      </c>
      <c r="Q23" s="15">
        <f t="shared" si="13"/>
        <v>3</v>
      </c>
      <c r="R23" s="16">
        <f t="shared" si="14"/>
        <v>0</v>
      </c>
      <c r="S23" s="11" t="str">
        <f t="shared" si="15"/>
        <v>OK</v>
      </c>
      <c r="T23" s="19">
        <f t="shared" si="5"/>
        <v>100</v>
      </c>
    </row>
    <row r="24" spans="1:20">
      <c r="A24" s="7">
        <f t="shared" ca="1" si="6"/>
        <v>9</v>
      </c>
      <c r="B24" s="8">
        <f t="shared" ca="1" si="1"/>
        <v>9</v>
      </c>
      <c r="C24" s="9">
        <f t="shared" si="7"/>
        <v>8</v>
      </c>
      <c r="D24" s="10">
        <f>ROUNDUP($G$7*1.1,0)</f>
        <v>22</v>
      </c>
      <c r="E24" s="11" t="str">
        <f t="shared" ref="E24:E32" si="16">IF(D24=0," ",IF(D24&lt;$G$7,"Check",IF(D24&gt;($G$7*1.15),"Check","OK")))</f>
        <v>OK</v>
      </c>
      <c r="M24" s="13">
        <f t="shared" ca="1" si="9"/>
        <v>-2</v>
      </c>
      <c r="N24" s="9">
        <f t="shared" ca="1" si="10"/>
        <v>50</v>
      </c>
      <c r="O24" s="12">
        <f t="shared" si="11"/>
        <v>18</v>
      </c>
      <c r="P24" s="26"/>
      <c r="Q24" s="27"/>
      <c r="R24" s="28"/>
      <c r="S24" s="11"/>
      <c r="T24" s="19">
        <f t="shared" si="5"/>
        <v>100</v>
      </c>
    </row>
    <row r="25" spans="1:20">
      <c r="A25" s="7">
        <f t="shared" ca="1" si="6"/>
        <v>8</v>
      </c>
      <c r="B25" s="8">
        <f t="shared" ca="1" si="1"/>
        <v>8</v>
      </c>
      <c r="C25" s="9">
        <f t="shared" si="7"/>
        <v>9</v>
      </c>
      <c r="D25" s="29"/>
      <c r="E25" s="11"/>
      <c r="M25" s="13">
        <f t="shared" ca="1" si="9"/>
        <v>-3</v>
      </c>
      <c r="N25" s="9">
        <f t="shared" ca="1" si="10"/>
        <v>49</v>
      </c>
      <c r="O25" s="12">
        <f t="shared" si="11"/>
        <v>19</v>
      </c>
      <c r="P25" s="14">
        <f t="shared" si="12"/>
        <v>176</v>
      </c>
      <c r="Q25" s="15">
        <f t="shared" si="13"/>
        <v>3</v>
      </c>
      <c r="R25" s="16">
        <f t="shared" si="14"/>
        <v>11</v>
      </c>
      <c r="S25" s="11" t="str">
        <f t="shared" si="15"/>
        <v>OK</v>
      </c>
      <c r="T25" s="19">
        <f t="shared" si="5"/>
        <v>100</v>
      </c>
    </row>
    <row r="26" spans="1:20">
      <c r="A26" s="7">
        <f t="shared" ca="1" si="6"/>
        <v>7</v>
      </c>
      <c r="B26" s="8">
        <f t="shared" ca="1" si="1"/>
        <v>7</v>
      </c>
      <c r="C26" s="9">
        <f t="shared" si="7"/>
        <v>10</v>
      </c>
      <c r="D26" s="10">
        <f t="shared" ref="D26:D32" si="17">ROUNDUP($G$7*1.1,0)</f>
        <v>22</v>
      </c>
      <c r="E26" s="11" t="str">
        <f t="shared" si="16"/>
        <v>OK</v>
      </c>
      <c r="M26" s="13">
        <f t="shared" ca="1" si="9"/>
        <v>-4</v>
      </c>
      <c r="N26" s="9">
        <f t="shared" ca="1" si="10"/>
        <v>48</v>
      </c>
      <c r="O26" s="12">
        <f t="shared" si="11"/>
        <v>20</v>
      </c>
      <c r="P26" s="26"/>
      <c r="Q26" s="27"/>
      <c r="R26" s="28"/>
      <c r="S26" s="11"/>
      <c r="T26" s="19">
        <f t="shared" si="5"/>
        <v>100</v>
      </c>
    </row>
    <row r="27" spans="1:20">
      <c r="A27" s="7">
        <f t="shared" ca="1" si="6"/>
        <v>6</v>
      </c>
      <c r="B27" s="8">
        <f t="shared" ca="1" si="1"/>
        <v>6</v>
      </c>
      <c r="C27" s="9">
        <f t="shared" si="7"/>
        <v>11</v>
      </c>
      <c r="D27" s="29"/>
      <c r="E27" s="11"/>
      <c r="M27" s="13">
        <f t="shared" ca="1" si="9"/>
        <v>-5</v>
      </c>
      <c r="N27" s="9">
        <f t="shared" ca="1" si="10"/>
        <v>47</v>
      </c>
      <c r="O27" s="12">
        <f t="shared" si="11"/>
        <v>21</v>
      </c>
      <c r="P27" s="14">
        <f t="shared" si="12"/>
        <v>73</v>
      </c>
      <c r="Q27" s="15">
        <f t="shared" si="13"/>
        <v>3</v>
      </c>
      <c r="R27" s="16">
        <f t="shared" si="14"/>
        <v>114</v>
      </c>
      <c r="S27" s="11" t="str">
        <f t="shared" si="15"/>
        <v>OK</v>
      </c>
      <c r="T27" s="19">
        <f t="shared" si="5"/>
        <v>100</v>
      </c>
    </row>
    <row r="28" spans="1:20">
      <c r="A28" s="7">
        <f t="shared" ca="1" si="6"/>
        <v>5</v>
      </c>
      <c r="B28" s="8">
        <f t="shared" ca="1" si="1"/>
        <v>5</v>
      </c>
      <c r="C28" s="9">
        <f t="shared" si="7"/>
        <v>12</v>
      </c>
      <c r="D28" s="10">
        <f t="shared" si="17"/>
        <v>22</v>
      </c>
      <c r="E28" s="11" t="str">
        <f t="shared" si="16"/>
        <v>OK</v>
      </c>
      <c r="M28" s="13">
        <f t="shared" ca="1" si="9"/>
        <v>-6</v>
      </c>
      <c r="N28" s="9">
        <f t="shared" ca="1" si="10"/>
        <v>46</v>
      </c>
      <c r="O28" s="12">
        <f t="shared" si="11"/>
        <v>22</v>
      </c>
      <c r="P28" s="26"/>
      <c r="Q28" s="27"/>
      <c r="R28" s="28"/>
      <c r="S28" s="11"/>
      <c r="T28" s="19">
        <f t="shared" si="5"/>
        <v>100</v>
      </c>
    </row>
    <row r="29" spans="1:20">
      <c r="A29" s="7">
        <f t="shared" ca="1" si="6"/>
        <v>4</v>
      </c>
      <c r="B29" s="8">
        <f t="shared" ca="1" si="1"/>
        <v>4</v>
      </c>
      <c r="C29" s="9">
        <f t="shared" si="7"/>
        <v>13</v>
      </c>
      <c r="D29" s="29"/>
      <c r="E29" s="11"/>
      <c r="M29" s="13">
        <f t="shared" ca="1" si="9"/>
        <v>-7</v>
      </c>
      <c r="N29" s="9">
        <f t="shared" ca="1" si="10"/>
        <v>45</v>
      </c>
      <c r="O29" s="12">
        <f t="shared" si="11"/>
        <v>23</v>
      </c>
      <c r="P29" s="14">
        <f t="shared" si="12"/>
        <v>7</v>
      </c>
      <c r="Q29" s="15">
        <f t="shared" si="13"/>
        <v>3</v>
      </c>
      <c r="R29" s="16">
        <f t="shared" si="14"/>
        <v>180</v>
      </c>
      <c r="S29" s="11" t="str">
        <f t="shared" ref="S29:S35" si="18">IF((P29+Q29+R29)=0," ",IF((P29+Q29+R29)&lt;($G$7*$G$10*(1-(((100-$G$11)*(T29/100))/100))),"Check","OK"))</f>
        <v>OK</v>
      </c>
      <c r="T29" s="19">
        <f t="shared" si="5"/>
        <v>100</v>
      </c>
    </row>
    <row r="30" spans="1:20">
      <c r="A30" s="7">
        <f t="shared" ca="1" si="6"/>
        <v>3</v>
      </c>
      <c r="B30" s="8">
        <f t="shared" ca="1" si="1"/>
        <v>3</v>
      </c>
      <c r="C30" s="9">
        <f t="shared" si="7"/>
        <v>14</v>
      </c>
      <c r="D30" s="10">
        <f t="shared" si="17"/>
        <v>22</v>
      </c>
      <c r="E30" s="11" t="str">
        <f t="shared" si="16"/>
        <v>OK</v>
      </c>
      <c r="M30" s="13">
        <f t="shared" ca="1" si="9"/>
        <v>-8</v>
      </c>
      <c r="N30" s="9">
        <f t="shared" ca="1" si="10"/>
        <v>44</v>
      </c>
      <c r="O30" s="12">
        <f>O29+1</f>
        <v>24</v>
      </c>
      <c r="P30" s="26"/>
      <c r="Q30" s="27"/>
      <c r="R30" s="28"/>
      <c r="S30" s="11"/>
      <c r="T30" s="19">
        <f t="shared" si="5"/>
        <v>100</v>
      </c>
    </row>
    <row r="31" spans="1:20">
      <c r="A31" s="7">
        <f t="shared" ca="1" si="6"/>
        <v>2</v>
      </c>
      <c r="B31" s="8">
        <f t="shared" ca="1" si="1"/>
        <v>2</v>
      </c>
      <c r="C31" s="9">
        <f t="shared" si="7"/>
        <v>15</v>
      </c>
      <c r="D31" s="29"/>
      <c r="E31" s="11"/>
      <c r="M31" s="13">
        <f t="shared" ca="1" si="9"/>
        <v>-9</v>
      </c>
      <c r="N31" s="9">
        <f t="shared" ca="1" si="10"/>
        <v>43</v>
      </c>
      <c r="O31" s="12">
        <f t="shared" si="11"/>
        <v>25</v>
      </c>
      <c r="P31" s="14">
        <f t="shared" si="12"/>
        <v>0</v>
      </c>
      <c r="Q31" s="15">
        <f t="shared" si="13"/>
        <v>0</v>
      </c>
      <c r="R31" s="16">
        <f t="shared" si="14"/>
        <v>0</v>
      </c>
      <c r="S31" s="11" t="str">
        <f t="shared" si="18"/>
        <v xml:space="preserve"> </v>
      </c>
      <c r="T31" s="19">
        <f t="shared" si="5"/>
        <v>100</v>
      </c>
    </row>
    <row r="32" spans="1:20">
      <c r="A32" s="7">
        <f t="shared" ca="1" si="6"/>
        <v>1</v>
      </c>
      <c r="B32" s="17">
        <f t="shared" ca="1" si="1"/>
        <v>1</v>
      </c>
      <c r="C32" s="9">
        <f t="shared" si="7"/>
        <v>16</v>
      </c>
      <c r="D32" s="10">
        <f t="shared" si="17"/>
        <v>22</v>
      </c>
      <c r="E32" s="11" t="str">
        <f t="shared" si="16"/>
        <v>OK</v>
      </c>
      <c r="M32" s="13">
        <f t="shared" ca="1" si="9"/>
        <v>-10</v>
      </c>
      <c r="N32" s="9">
        <f t="shared" ca="1" si="10"/>
        <v>42</v>
      </c>
      <c r="O32" s="12">
        <f t="shared" si="11"/>
        <v>26</v>
      </c>
      <c r="P32" s="26"/>
      <c r="Q32" s="27"/>
      <c r="R32" s="28"/>
      <c r="S32" s="11"/>
      <c r="T32" s="19">
        <f t="shared" si="5"/>
        <v>100</v>
      </c>
    </row>
    <row r="33" spans="1:20">
      <c r="A33" s="7">
        <f t="shared" ca="1" si="6"/>
        <v>0</v>
      </c>
      <c r="B33" s="24"/>
      <c r="C33" s="25"/>
      <c r="D33" s="25"/>
      <c r="E33" s="25"/>
      <c r="M33" s="13">
        <f t="shared" ca="1" si="9"/>
        <v>-11</v>
      </c>
      <c r="N33" s="9">
        <f t="shared" ca="1" si="10"/>
        <v>41</v>
      </c>
      <c r="O33" s="12">
        <f t="shared" si="11"/>
        <v>27</v>
      </c>
      <c r="P33" s="14">
        <f t="shared" si="12"/>
        <v>0</v>
      </c>
      <c r="Q33" s="15">
        <f t="shared" si="13"/>
        <v>0</v>
      </c>
      <c r="R33" s="16">
        <f t="shared" si="14"/>
        <v>0</v>
      </c>
      <c r="S33" s="11" t="str">
        <f t="shared" si="18"/>
        <v xml:space="preserve"> </v>
      </c>
      <c r="T33" s="19">
        <f t="shared" si="5"/>
        <v>100</v>
      </c>
    </row>
    <row r="34" spans="1:20">
      <c r="D34" s="18"/>
      <c r="M34" s="13">
        <f t="shared" ca="1" si="9"/>
        <v>-12</v>
      </c>
      <c r="N34" s="9">
        <f t="shared" ref="N34:N38" ca="1" si="19">IF(M34&lt;0,N33-1,IF(M34=0,52,N33-1))</f>
        <v>40</v>
      </c>
      <c r="O34" s="12">
        <f t="shared" si="11"/>
        <v>28</v>
      </c>
      <c r="P34" s="26"/>
      <c r="Q34" s="27"/>
      <c r="R34" s="28"/>
      <c r="S34" s="11"/>
      <c r="T34" s="19">
        <f t="shared" si="5"/>
        <v>100</v>
      </c>
    </row>
    <row r="35" spans="1:20">
      <c r="M35" s="13">
        <f t="shared" ca="1" si="9"/>
        <v>-13</v>
      </c>
      <c r="N35" s="9">
        <f t="shared" ca="1" si="19"/>
        <v>39</v>
      </c>
      <c r="O35" s="12">
        <f t="shared" si="11"/>
        <v>29</v>
      </c>
      <c r="P35" s="14">
        <f t="shared" si="12"/>
        <v>0</v>
      </c>
      <c r="Q35" s="15">
        <f t="shared" si="13"/>
        <v>0</v>
      </c>
      <c r="R35" s="16">
        <f t="shared" si="14"/>
        <v>0</v>
      </c>
      <c r="S35" s="11" t="str">
        <f t="shared" si="18"/>
        <v xml:space="preserve"> </v>
      </c>
      <c r="T35" s="19">
        <f t="shared" si="5"/>
        <v>100</v>
      </c>
    </row>
    <row r="36" spans="1:20">
      <c r="M36" s="13">
        <f t="shared" ca="1" si="9"/>
        <v>-14</v>
      </c>
      <c r="N36" s="9">
        <f t="shared" ca="1" si="19"/>
        <v>38</v>
      </c>
      <c r="O36" s="12">
        <f t="shared" si="11"/>
        <v>30</v>
      </c>
      <c r="P36" s="26"/>
      <c r="Q36" s="27"/>
      <c r="R36" s="28"/>
      <c r="S36" s="11"/>
      <c r="T36" s="19">
        <f t="shared" si="5"/>
        <v>100</v>
      </c>
    </row>
    <row r="37" spans="1:20">
      <c r="M37" s="13">
        <f t="shared" ca="1" si="9"/>
        <v>-15</v>
      </c>
      <c r="N37" s="9">
        <f t="shared" ca="1" si="19"/>
        <v>37</v>
      </c>
      <c r="O37" s="12">
        <f t="shared" si="11"/>
        <v>31</v>
      </c>
      <c r="P37" s="14">
        <f t="shared" si="12"/>
        <v>0</v>
      </c>
      <c r="Q37" s="15">
        <f t="shared" si="13"/>
        <v>0</v>
      </c>
      <c r="R37" s="16">
        <f t="shared" si="14"/>
        <v>0</v>
      </c>
      <c r="S37" s="11" t="str">
        <f t="shared" si="15"/>
        <v xml:space="preserve"> </v>
      </c>
      <c r="T37" s="19">
        <f t="shared" si="5"/>
        <v>100</v>
      </c>
    </row>
    <row r="38" spans="1:20">
      <c r="M38" s="13">
        <f t="shared" ca="1" si="9"/>
        <v>-16</v>
      </c>
      <c r="N38" s="9">
        <f t="shared" ca="1" si="19"/>
        <v>36</v>
      </c>
      <c r="O38" s="12">
        <f t="shared" si="11"/>
        <v>32</v>
      </c>
      <c r="P38" s="26"/>
      <c r="Q38" s="27"/>
      <c r="R38" s="28"/>
      <c r="S38" s="11"/>
      <c r="T38" s="19">
        <f t="shared" si="5"/>
        <v>100</v>
      </c>
    </row>
    <row r="39" spans="1:20">
      <c r="P39" s="30"/>
      <c r="Q39" s="30"/>
      <c r="R39" s="30"/>
    </row>
  </sheetData>
  <mergeCells count="16">
    <mergeCell ref="F16:I16"/>
    <mergeCell ref="C16:E16"/>
    <mergeCell ref="O15:S15"/>
    <mergeCell ref="J16:L16"/>
    <mergeCell ref="K6:L6"/>
    <mergeCell ref="N6:O6"/>
    <mergeCell ref="G9:H9"/>
    <mergeCell ref="G10:H10"/>
    <mergeCell ref="G11:H11"/>
    <mergeCell ref="G12:H12"/>
    <mergeCell ref="G13:H13"/>
    <mergeCell ref="F3:H3"/>
    <mergeCell ref="J3:K3"/>
    <mergeCell ref="G6:H6"/>
    <mergeCell ref="G7:H7"/>
    <mergeCell ref="G8:H8"/>
  </mergeCells>
  <conditionalFormatting sqref="E17:E33 H17:H23">
    <cfRule type="containsText" dxfId="14" priority="15" operator="containsText" text="Check">
      <formula>NOT(ISERROR(SEARCH("Check",E17)))</formula>
    </cfRule>
  </conditionalFormatting>
  <conditionalFormatting sqref="F21 H21:I21">
    <cfRule type="expression" dxfId="13" priority="19">
      <formula>$F$21&gt;$G$9</formula>
    </cfRule>
  </conditionalFormatting>
  <conditionalFormatting sqref="F22:I23">
    <cfRule type="expression" dxfId="12" priority="20">
      <formula>$F$22&gt;$G$9</formula>
    </cfRule>
  </conditionalFormatting>
  <conditionalFormatting sqref="F23:I23">
    <cfRule type="expression" dxfId="11" priority="21">
      <formula>$F$23&gt;$G$9</formula>
    </cfRule>
  </conditionalFormatting>
  <conditionalFormatting sqref="G23">
    <cfRule type="expression" dxfId="10" priority="24">
      <formula>$F$23&gt;$G$9</formula>
    </cfRule>
  </conditionalFormatting>
  <conditionalFormatting sqref="G22">
    <cfRule type="expression" dxfId="9" priority="25">
      <formula>$F$22&gt;$G$9</formula>
    </cfRule>
  </conditionalFormatting>
  <conditionalFormatting sqref="J23:L23">
    <cfRule type="expression" dxfId="8" priority="26">
      <formula>$G$9&gt;3</formula>
    </cfRule>
  </conditionalFormatting>
  <conditionalFormatting sqref="J22 L22">
    <cfRule type="expression" dxfId="7" priority="27">
      <formula>$G$9&gt;4</formula>
    </cfRule>
  </conditionalFormatting>
  <conditionalFormatting sqref="L17:L22">
    <cfRule type="containsText" dxfId="6" priority="9" operator="containsText" text="Check">
      <formula>NOT(ISERROR(SEARCH("Check",L17)))</formula>
    </cfRule>
  </conditionalFormatting>
  <conditionalFormatting sqref="S17:S38">
    <cfRule type="containsText" dxfId="5" priority="8" operator="containsText" text="Check">
      <formula>NOT(ISERROR(SEARCH("Check",S17)))</formula>
    </cfRule>
  </conditionalFormatting>
  <conditionalFormatting sqref="P17:P38">
    <cfRule type="cellIs" dxfId="4" priority="7" operator="equal">
      <formula>0</formula>
    </cfRule>
  </conditionalFormatting>
  <conditionalFormatting sqref="R17:R38">
    <cfRule type="cellIs" dxfId="3" priority="5" operator="equal">
      <formula>0</formula>
    </cfRule>
  </conditionalFormatting>
  <conditionalFormatting sqref="G21">
    <cfRule type="expression" dxfId="2" priority="4">
      <formula>$F$21&gt;$G$9</formula>
    </cfRule>
  </conditionalFormatting>
  <conditionalFormatting sqref="K22">
    <cfRule type="expression" dxfId="1" priority="3">
      <formula>$G$9=5</formula>
    </cfRule>
  </conditionalFormatting>
  <conditionalFormatting sqref="P17:R38">
    <cfRule type="cellIs" dxfId="0" priority="1" operator="equal">
      <formula>0</formula>
    </cfRule>
  </conditionalFormatting>
  <dataValidations count="1">
    <dataValidation type="list" allowBlank="1" showInputMessage="1" showErrorMessage="1" sqref="O10">
      <formula1>$R$9:$R$10</formula1>
    </dataValidation>
  </dataValidation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Actual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2010-04-14T16:11:57Z</cp:lastPrinted>
  <dcterms:created xsi:type="dcterms:W3CDTF">2010-04-14T00:00:23Z</dcterms:created>
  <dcterms:modified xsi:type="dcterms:W3CDTF">2010-04-15T02:41:00Z</dcterms:modified>
</cp:coreProperties>
</file>